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0730" windowHeight="11760" tabRatio="601" firstSheet="1" activeTab="5"/>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state="hidden" r:id="rId12"/>
    <sheet name="12.Facility 1 - Trading" sheetId="13" r:id="rId13"/>
    <sheet name="13.Facility 2 Grain Processing" sheetId="14" r:id="rId14"/>
    <sheet name="14. Facility 3 Warehouse" sheetId="15" r:id="rId15"/>
    <sheet name="15. Facility 4 Custom Hiring" sheetId="16" state="hidden" r:id="rId16"/>
    <sheet name="16.Facility 5 Agri Input" sheetId="17" state="hidden" r:id="rId17"/>
    <sheet name="17.Facility 6 Horti Processing " sheetId="18" state="hidden" r:id="rId18"/>
    <sheet name="Sheet3" sheetId="21" r:id="rId19"/>
  </sheets>
  <externalReferences>
    <externalReference r:id="rId20"/>
    <externalReference r:id="rId21"/>
  </externalReferences>
  <definedNames>
    <definedName name="_xlnm._FilterDatabase" localSheetId="6" hidden="1">'6.Cons Profit &amp; Loss'!$A$5:$H$51</definedName>
    <definedName name="_xlnm._FilterDatabase" localSheetId="9" hidden="1">'9. Financial indiacators'!$B$121:$I$179</definedName>
    <definedName name="_xlnm.Print_Area" localSheetId="1">'1.Project Cost and MOF'!$A$1:$G$35</definedName>
    <definedName name="_xlnm.Print_Area" localSheetId="10">'10.Grain Production details'!$A$1:$H$123</definedName>
    <definedName name="_xlnm.Print_Area" localSheetId="11">'11.F&amp;V Crop Production details'!$A$1:$H$132</definedName>
    <definedName name="_xlnm.Print_Area" localSheetId="12">'12.Facility 1 - Trading'!$A$1:$J$313</definedName>
    <definedName name="_xlnm.Print_Area" localSheetId="13">'13.Facility 2 Grain Processing'!$A$3:$J$189</definedName>
    <definedName name="_xlnm.Print_Area" localSheetId="14">'14. Facility 3 Warehouse'!$A$1:$K$56</definedName>
    <definedName name="_xlnm.Print_Area" localSheetId="15">'15. Facility 4 Custom Hiring'!$A$1:$M$69</definedName>
    <definedName name="_xlnm.Print_Area" localSheetId="16">'16.Facility 5 Agri Input'!$A$1:$J$284</definedName>
    <definedName name="_xlnm.Print_Area" localSheetId="17">'17.Facility 6 Horti Processing '!$A$1:$J$197</definedName>
    <definedName name="_xlnm.Print_Area" localSheetId="2">'2.Capex Details'!$A$1:$H$147</definedName>
    <definedName name="_xlnm.Print_Area" localSheetId="3">'3.Other Exp &amp; Taxes'!$A$1:$R$105</definedName>
    <definedName name="_xlnm.Print_Area" localSheetId="4">'4.TL repayment sch'!$A$1:$H$93</definedName>
    <definedName name="_xlnm.Print_Area" localSheetId="5">'5.Closing Stock &amp; W Capital'!$A$1:$L$65</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indiacators'!$B$1:$J$183</definedName>
    <definedName name="_xlnm.Print_Area" localSheetId="0">'Note for users'!$A$1:$E$36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38" i="14" l="1"/>
  <c r="F6" i="21"/>
  <c r="F7" i="21"/>
  <c r="F8" i="21"/>
  <c r="F5" i="21"/>
  <c r="D179" i="13"/>
  <c r="J6" i="14"/>
  <c r="I7" i="13"/>
  <c r="C40" i="11" l="1"/>
  <c r="D40" i="11" s="1"/>
  <c r="E40" i="11" s="1"/>
  <c r="F40" i="11" s="1"/>
  <c r="G40" i="11" s="1"/>
  <c r="H40" i="11" s="1"/>
  <c r="D69" i="11"/>
  <c r="E69" i="11" s="1"/>
  <c r="F69" i="11" s="1"/>
  <c r="G69" i="11" s="1"/>
  <c r="H69" i="11" s="1"/>
  <c r="C69" i="11"/>
  <c r="B104" i="11" l="1"/>
  <c r="D177" i="14" l="1"/>
  <c r="C29" i="15"/>
  <c r="C34" i="14" l="1"/>
  <c r="D34" i="14"/>
  <c r="E34" i="14"/>
  <c r="F34" i="14"/>
  <c r="G34" i="14"/>
  <c r="H34" i="14"/>
  <c r="B34" i="14"/>
  <c r="B158" i="14"/>
  <c r="B283" i="13"/>
  <c r="H121" i="3"/>
  <c r="H124" i="3" s="1"/>
  <c r="H73" i="3"/>
  <c r="H88" i="3" s="1"/>
  <c r="G71" i="3"/>
  <c r="G70" i="3"/>
  <c r="G42" i="3"/>
  <c r="G43" i="3"/>
  <c r="G44" i="3"/>
  <c r="G45" i="3"/>
  <c r="G46" i="3"/>
  <c r="G47" i="3"/>
  <c r="G48" i="3"/>
  <c r="G49" i="3"/>
  <c r="G50" i="3"/>
  <c r="G51" i="3"/>
  <c r="G52" i="3"/>
  <c r="G41" i="3"/>
  <c r="G30" i="3"/>
  <c r="G23" i="3"/>
  <c r="G24" i="3"/>
  <c r="G25" i="3"/>
  <c r="G26" i="3"/>
  <c r="G27" i="3"/>
  <c r="G28" i="3"/>
  <c r="G29" i="3"/>
  <c r="G31" i="3"/>
  <c r="G32" i="3"/>
  <c r="G33" i="3"/>
  <c r="G34" i="3"/>
  <c r="G35" i="3"/>
  <c r="G36" i="3"/>
  <c r="G37" i="3"/>
  <c r="G38" i="3"/>
  <c r="G22" i="3"/>
  <c r="B7" i="11"/>
  <c r="G53" i="3" l="1"/>
  <c r="G39" i="3"/>
  <c r="C153" i="14"/>
  <c r="C65" i="11"/>
  <c r="D65" i="11" s="1"/>
  <c r="E65" i="11" s="1"/>
  <c r="F65" i="11" s="1"/>
  <c r="G65" i="11" s="1"/>
  <c r="H65" i="11" s="1"/>
  <c r="A32" i="13"/>
  <c r="A89" i="13" s="1"/>
  <c r="A141" i="13" s="1"/>
  <c r="B32" i="13"/>
  <c r="C32" i="13"/>
  <c r="D32" i="13"/>
  <c r="E32" i="13"/>
  <c r="F32" i="13"/>
  <c r="G32" i="13"/>
  <c r="H32" i="13"/>
  <c r="A34" i="13"/>
  <c r="A91" i="13"/>
  <c r="A143" i="13" s="1"/>
  <c r="B162" i="13"/>
  <c r="C162" i="13"/>
  <c r="D162" i="13"/>
  <c r="E162" i="13"/>
  <c r="F162" i="13"/>
  <c r="G162" i="13"/>
  <c r="H162" i="13"/>
  <c r="B163" i="13"/>
  <c r="C163" i="13"/>
  <c r="D163" i="13"/>
  <c r="E163" i="13"/>
  <c r="F163" i="13"/>
  <c r="G163" i="13"/>
  <c r="H163" i="13"/>
  <c r="B164" i="13"/>
  <c r="C164" i="13"/>
  <c r="D164" i="13"/>
  <c r="E164" i="13"/>
  <c r="F164" i="13"/>
  <c r="G164" i="13"/>
  <c r="H164" i="13"/>
  <c r="C62" i="13"/>
  <c r="D62" i="13" s="1"/>
  <c r="E62" i="13" s="1"/>
  <c r="F62" i="13" s="1"/>
  <c r="G62" i="13" s="1"/>
  <c r="H62" i="13" s="1"/>
  <c r="D295" i="13"/>
  <c r="G8" i="3"/>
  <c r="G9" i="3"/>
  <c r="G10" i="3"/>
  <c r="H83" i="3" l="1"/>
  <c r="G69" i="3"/>
  <c r="G57" i="3"/>
  <c r="G58" i="3"/>
  <c r="G59" i="3"/>
  <c r="G60" i="3"/>
  <c r="G63" i="3"/>
  <c r="G66" i="3"/>
  <c r="G67" i="3"/>
  <c r="G79" i="3"/>
  <c r="G77" i="3"/>
  <c r="G61" i="3" l="1"/>
  <c r="G68" i="3"/>
  <c r="G72" i="3" s="1"/>
  <c r="G88" i="3" s="1"/>
  <c r="B9" i="11"/>
  <c r="C23" i="11" s="1"/>
  <c r="C93" i="11"/>
  <c r="D93" i="11" s="1"/>
  <c r="E93" i="11" s="1"/>
  <c r="F93" i="11" s="1"/>
  <c r="G93" i="11" s="1"/>
  <c r="H93" i="11" s="1"/>
  <c r="D173" i="14" l="1"/>
  <c r="D172" i="14"/>
  <c r="J27" i="11"/>
  <c r="F129" i="3" l="1"/>
  <c r="F128" i="3"/>
  <c r="F127" i="3"/>
  <c r="F126" i="3"/>
  <c r="D181" i="18" l="1"/>
  <c r="D180" i="18"/>
  <c r="A156" i="18"/>
  <c r="A155" i="18"/>
  <c r="A154" i="18"/>
  <c r="E149" i="18"/>
  <c r="B41" i="18"/>
  <c r="C40" i="18"/>
  <c r="D40" i="18" s="1"/>
  <c r="D41" i="18" s="1"/>
  <c r="H33" i="18"/>
  <c r="H32" i="18"/>
  <c r="H31" i="18"/>
  <c r="D268" i="17"/>
  <c r="D267" i="17"/>
  <c r="D266" i="17"/>
  <c r="D265" i="17"/>
  <c r="A251" i="17"/>
  <c r="A250" i="17"/>
  <c r="A249" i="17"/>
  <c r="A247" i="17"/>
  <c r="A246" i="17"/>
  <c r="A245" i="17"/>
  <c r="A244" i="17"/>
  <c r="D243" i="17"/>
  <c r="D214" i="17"/>
  <c r="D205" i="17"/>
  <c r="A195" i="17"/>
  <c r="A179" i="17"/>
  <c r="A243" i="17" s="1"/>
  <c r="A138" i="17"/>
  <c r="A205" i="17" s="1"/>
  <c r="A129" i="17"/>
  <c r="E124" i="17"/>
  <c r="A70" i="17"/>
  <c r="A61" i="17"/>
  <c r="A32" i="17"/>
  <c r="I31" i="17"/>
  <c r="I84" i="17" s="1"/>
  <c r="H31" i="17"/>
  <c r="H84" i="17" s="1"/>
  <c r="G31" i="17"/>
  <c r="G84" i="17" s="1"/>
  <c r="F31" i="17"/>
  <c r="F84" i="17" s="1"/>
  <c r="E31" i="17"/>
  <c r="E84" i="17" s="1"/>
  <c r="D31" i="17"/>
  <c r="D84" i="17" s="1"/>
  <c r="C31" i="17"/>
  <c r="C84" i="17" s="1"/>
  <c r="D219" i="17" s="1"/>
  <c r="A31" i="17"/>
  <c r="A26" i="17"/>
  <c r="E52" i="16"/>
  <c r="E56" i="16" s="1"/>
  <c r="B31" i="7" s="1"/>
  <c r="D38" i="16"/>
  <c r="C38" i="16"/>
  <c r="D37" i="16"/>
  <c r="C37" i="16"/>
  <c r="E37" i="16" s="1"/>
  <c r="D36" i="16"/>
  <c r="C36" i="16"/>
  <c r="D35" i="16"/>
  <c r="E35" i="16" s="1"/>
  <c r="C35" i="16"/>
  <c r="D34" i="16"/>
  <c r="C34" i="16"/>
  <c r="D33" i="16"/>
  <c r="C33" i="16"/>
  <c r="D32" i="16"/>
  <c r="A32" i="16"/>
  <c r="D31" i="16"/>
  <c r="A31" i="16"/>
  <c r="D30" i="16"/>
  <c r="A30" i="16"/>
  <c r="D29" i="16"/>
  <c r="A29" i="16"/>
  <c r="D28" i="16"/>
  <c r="A28" i="16"/>
  <c r="F23" i="16"/>
  <c r="M17" i="16"/>
  <c r="J17" i="16"/>
  <c r="F17" i="16"/>
  <c r="M16" i="16"/>
  <c r="J16" i="16"/>
  <c r="F16" i="16"/>
  <c r="M15" i="16"/>
  <c r="J15" i="16"/>
  <c r="F15" i="16"/>
  <c r="M14" i="16"/>
  <c r="J14" i="16"/>
  <c r="F14" i="16"/>
  <c r="M13" i="16"/>
  <c r="J13" i="16"/>
  <c r="F13" i="16"/>
  <c r="M12" i="16"/>
  <c r="F12" i="16"/>
  <c r="H12" i="16" s="1"/>
  <c r="M11" i="16"/>
  <c r="F11" i="16"/>
  <c r="H11" i="16" s="1"/>
  <c r="J11" i="16" s="1"/>
  <c r="M10" i="16"/>
  <c r="F10" i="16"/>
  <c r="H10" i="16" s="1"/>
  <c r="M9" i="16"/>
  <c r="F9" i="16"/>
  <c r="H9" i="16" s="1"/>
  <c r="M8" i="16"/>
  <c r="F8" i="16"/>
  <c r="H8" i="16" s="1"/>
  <c r="C28" i="16" s="1"/>
  <c r="D37" i="15"/>
  <c r="D43" i="15" s="1"/>
  <c r="B30" i="7" s="1"/>
  <c r="D28" i="15"/>
  <c r="D27" i="15"/>
  <c r="E17" i="15"/>
  <c r="B10" i="15"/>
  <c r="D21" i="15" s="1"/>
  <c r="D23" i="15" s="1"/>
  <c r="C9" i="15"/>
  <c r="B29" i="7"/>
  <c r="K144" i="14"/>
  <c r="E132" i="14"/>
  <c r="A120" i="14"/>
  <c r="D294" i="13"/>
  <c r="D301" i="13" s="1"/>
  <c r="D280" i="13"/>
  <c r="A280" i="13"/>
  <c r="D279" i="13"/>
  <c r="A279" i="13"/>
  <c r="D255" i="13"/>
  <c r="A255" i="13"/>
  <c r="A254" i="13"/>
  <c r="E172" i="13"/>
  <c r="D223" i="13"/>
  <c r="D222" i="13"/>
  <c r="D221" i="13"/>
  <c r="H63" i="13"/>
  <c r="G63" i="13"/>
  <c r="F63" i="13"/>
  <c r="E63" i="13"/>
  <c r="D63" i="13"/>
  <c r="C63" i="13"/>
  <c r="B63" i="13"/>
  <c r="A202" i="13"/>
  <c r="A256" i="13" s="1"/>
  <c r="E100" i="12"/>
  <c r="F100" i="12" s="1"/>
  <c r="G100" i="12" s="1"/>
  <c r="H100" i="12" s="1"/>
  <c r="C100" i="12"/>
  <c r="D100" i="12" s="1"/>
  <c r="C74" i="12"/>
  <c r="C13" i="18" s="1"/>
  <c r="C72" i="12"/>
  <c r="D72" i="12" s="1"/>
  <c r="E72" i="12" s="1"/>
  <c r="F72" i="12" s="1"/>
  <c r="G72" i="12" s="1"/>
  <c r="H72" i="12" s="1"/>
  <c r="A70" i="12"/>
  <c r="A59" i="13" s="1"/>
  <c r="A116" i="13" s="1"/>
  <c r="A168" i="13" s="1"/>
  <c r="A69" i="12"/>
  <c r="A58" i="13" s="1"/>
  <c r="A115" i="13" s="1"/>
  <c r="A167" i="13" s="1"/>
  <c r="A68" i="12"/>
  <c r="A57" i="13" s="1"/>
  <c r="A114" i="13" s="1"/>
  <c r="A166" i="13" s="1"/>
  <c r="A67" i="12"/>
  <c r="A56" i="13" s="1"/>
  <c r="A113" i="13" s="1"/>
  <c r="A165" i="13" s="1"/>
  <c r="A66" i="12"/>
  <c r="A65" i="12"/>
  <c r="A64" i="12"/>
  <c r="A63" i="12"/>
  <c r="A62" i="12"/>
  <c r="A61" i="12"/>
  <c r="A60" i="12"/>
  <c r="A59" i="12"/>
  <c r="A48" i="13" s="1"/>
  <c r="A105" i="13" s="1"/>
  <c r="A157" i="13" s="1"/>
  <c r="A58" i="12"/>
  <c r="A57" i="12"/>
  <c r="A56" i="12"/>
  <c r="A55" i="12"/>
  <c r="A44" i="13" s="1"/>
  <c r="A101" i="13" s="1"/>
  <c r="A153" i="13" s="1"/>
  <c r="A54" i="12"/>
  <c r="A43" i="13" s="1"/>
  <c r="A100" i="13" s="1"/>
  <c r="A152" i="13" s="1"/>
  <c r="A53" i="12"/>
  <c r="A42" i="13" s="1"/>
  <c r="A99" i="13" s="1"/>
  <c r="A151" i="13" s="1"/>
  <c r="A52" i="12"/>
  <c r="A41" i="13" s="1"/>
  <c r="A98" i="13" s="1"/>
  <c r="A150" i="13" s="1"/>
  <c r="A51" i="12"/>
  <c r="A40" i="13" s="1"/>
  <c r="A97" i="13" s="1"/>
  <c r="A149" i="13" s="1"/>
  <c r="A50" i="12"/>
  <c r="A39" i="13" s="1"/>
  <c r="A96" i="13" s="1"/>
  <c r="A148" i="13" s="1"/>
  <c r="A49" i="12"/>
  <c r="A48" i="12"/>
  <c r="A37" i="13" s="1"/>
  <c r="A94" i="13" s="1"/>
  <c r="A146" i="13" s="1"/>
  <c r="A47" i="12"/>
  <c r="A46" i="12"/>
  <c r="A35" i="13" s="1"/>
  <c r="A92" i="13" s="1"/>
  <c r="A144" i="13" s="1"/>
  <c r="C44" i="12"/>
  <c r="D44" i="12" s="1"/>
  <c r="E44" i="12" s="1"/>
  <c r="F44" i="12" s="1"/>
  <c r="G44" i="12" s="1"/>
  <c r="H44" i="12" s="1"/>
  <c r="V12" i="12"/>
  <c r="W12" i="12" s="1"/>
  <c r="X12" i="12" s="1"/>
  <c r="P12" i="12"/>
  <c r="Q12" i="12" s="1"/>
  <c r="R12" i="12" s="1"/>
  <c r="S12" i="12" s="1"/>
  <c r="T12" i="12" s="1"/>
  <c r="K12" i="12"/>
  <c r="L12" i="12" s="1"/>
  <c r="M12" i="12" s="1"/>
  <c r="N12" i="12" s="1"/>
  <c r="B7" i="12"/>
  <c r="B9" i="12" s="1"/>
  <c r="D37" i="12" s="1"/>
  <c r="B116" i="11"/>
  <c r="C30" i="17" s="1"/>
  <c r="C83" i="17" s="1"/>
  <c r="A62" i="11"/>
  <c r="A61" i="11"/>
  <c r="A30" i="13" s="1"/>
  <c r="A87" i="13" s="1"/>
  <c r="A139" i="13" s="1"/>
  <c r="A60" i="11"/>
  <c r="A59" i="11"/>
  <c r="A28" i="13" s="1"/>
  <c r="A85" i="13" s="1"/>
  <c r="A137" i="13" s="1"/>
  <c r="A58" i="11"/>
  <c r="A86" i="11" s="1"/>
  <c r="A29" i="14" s="1"/>
  <c r="A52" i="14" s="1"/>
  <c r="A111" i="14" s="1"/>
  <c r="A57" i="11"/>
  <c r="A26" i="13" s="1"/>
  <c r="A83" i="13" s="1"/>
  <c r="A135" i="13" s="1"/>
  <c r="A56" i="11"/>
  <c r="A55" i="11"/>
  <c r="A24" i="13" s="1"/>
  <c r="A81" i="13" s="1"/>
  <c r="A133" i="13" s="1"/>
  <c r="A54" i="11"/>
  <c r="A53" i="11"/>
  <c r="A22" i="13" s="1"/>
  <c r="A79" i="13" s="1"/>
  <c r="A131" i="13" s="1"/>
  <c r="A52" i="11"/>
  <c r="A21" i="13" s="1"/>
  <c r="A78" i="13" s="1"/>
  <c r="A130" i="13" s="1"/>
  <c r="A188" i="13" s="1"/>
  <c r="A243" i="13" s="1"/>
  <c r="A51" i="11"/>
  <c r="A20" i="13" s="1"/>
  <c r="A77" i="13" s="1"/>
  <c r="A129" i="13" s="1"/>
  <c r="A50" i="11"/>
  <c r="A49" i="11"/>
  <c r="A18" i="13" s="1"/>
  <c r="A75" i="13" s="1"/>
  <c r="A127" i="13" s="1"/>
  <c r="A48" i="11"/>
  <c r="A47" i="11"/>
  <c r="A16" i="13" s="1"/>
  <c r="A73" i="13" s="1"/>
  <c r="A125" i="13" s="1"/>
  <c r="A46" i="11"/>
  <c r="A15" i="13" s="1"/>
  <c r="A72" i="13" s="1"/>
  <c r="A124" i="13" s="1"/>
  <c r="A45" i="11"/>
  <c r="A14" i="13" s="1"/>
  <c r="A71" i="13" s="1"/>
  <c r="A123" i="13" s="1"/>
  <c r="A44" i="11"/>
  <c r="A43" i="11"/>
  <c r="A42" i="11"/>
  <c r="V12" i="11"/>
  <c r="W12" i="11" s="1"/>
  <c r="X12" i="11" s="1"/>
  <c r="P12" i="11"/>
  <c r="Q12" i="11" s="1"/>
  <c r="R12" i="11" s="1"/>
  <c r="S12" i="11" s="1"/>
  <c r="T12" i="11" s="1"/>
  <c r="L12" i="11"/>
  <c r="M12" i="11" s="1"/>
  <c r="N12" i="11" s="1"/>
  <c r="K12" i="11"/>
  <c r="D14" i="11"/>
  <c r="B95" i="11" s="1"/>
  <c r="I173" i="10"/>
  <c r="H173" i="10"/>
  <c r="G173" i="10"/>
  <c r="F173" i="10"/>
  <c r="E173" i="10"/>
  <c r="D173" i="10"/>
  <c r="C173" i="10"/>
  <c r="I158" i="10"/>
  <c r="H158" i="10"/>
  <c r="G158" i="10"/>
  <c r="F158" i="10"/>
  <c r="E158" i="10"/>
  <c r="D158" i="10"/>
  <c r="C158" i="10"/>
  <c r="I143" i="10"/>
  <c r="H143" i="10"/>
  <c r="G143" i="10"/>
  <c r="F143" i="10"/>
  <c r="E143" i="10"/>
  <c r="D143" i="10"/>
  <c r="C143" i="10"/>
  <c r="I128" i="10"/>
  <c r="H128" i="10"/>
  <c r="G128" i="10"/>
  <c r="F128" i="10"/>
  <c r="E128" i="10"/>
  <c r="D128" i="10"/>
  <c r="C128" i="10"/>
  <c r="B128" i="10"/>
  <c r="B143" i="10" s="1"/>
  <c r="B158" i="10" s="1"/>
  <c r="B173" i="10" s="1"/>
  <c r="B127" i="10"/>
  <c r="B142" i="10" s="1"/>
  <c r="B157" i="10" s="1"/>
  <c r="B172" i="10" s="1"/>
  <c r="B126" i="10"/>
  <c r="B141" i="10" s="1"/>
  <c r="B156" i="10" s="1"/>
  <c r="B171" i="10" s="1"/>
  <c r="B125" i="10"/>
  <c r="B140" i="10" s="1"/>
  <c r="B155" i="10" s="1"/>
  <c r="B170" i="10" s="1"/>
  <c r="B124" i="10"/>
  <c r="B139" i="10" s="1"/>
  <c r="B154" i="10" s="1"/>
  <c r="B169" i="10" s="1"/>
  <c r="B123" i="10"/>
  <c r="B138" i="10" s="1"/>
  <c r="B153" i="10" s="1"/>
  <c r="B168" i="10" s="1"/>
  <c r="B122" i="10"/>
  <c r="B137" i="10" s="1"/>
  <c r="B152" i="10" s="1"/>
  <c r="B167" i="10" s="1"/>
  <c r="B98" i="10"/>
  <c r="B97" i="10"/>
  <c r="B96" i="10"/>
  <c r="B95" i="10"/>
  <c r="C65" i="10"/>
  <c r="D65" i="10" s="1"/>
  <c r="E65" i="10" s="1"/>
  <c r="F65" i="10" s="1"/>
  <c r="G65" i="10" s="1"/>
  <c r="H65" i="10" s="1"/>
  <c r="I65" i="10" s="1"/>
  <c r="B37" i="10"/>
  <c r="B36" i="10"/>
  <c r="B35" i="10"/>
  <c r="B34" i="10"/>
  <c r="B33" i="10"/>
  <c r="B32" i="10"/>
  <c r="B16" i="9"/>
  <c r="B15" i="9"/>
  <c r="B9" i="9"/>
  <c r="H28" i="8"/>
  <c r="H43" i="7"/>
  <c r="I61" i="10" s="1"/>
  <c r="G43" i="7"/>
  <c r="I97" i="10" s="1"/>
  <c r="B28"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N9" i="6"/>
  <c r="C9" i="6"/>
  <c r="V8" i="6"/>
  <c r="R8" i="6"/>
  <c r="Q8" i="6"/>
  <c r="P8" i="6"/>
  <c r="O8" i="6"/>
  <c r="I87" i="4"/>
  <c r="H87" i="4"/>
  <c r="A64" i="4"/>
  <c r="A63" i="4"/>
  <c r="A62" i="4"/>
  <c r="A61" i="4"/>
  <c r="E22" i="4"/>
  <c r="E21" i="4"/>
  <c r="E20" i="4"/>
  <c r="E19" i="4"/>
  <c r="E18" i="4"/>
  <c r="E17" i="4"/>
  <c r="E16" i="4"/>
  <c r="E15" i="4"/>
  <c r="E14" i="4"/>
  <c r="E13" i="4"/>
  <c r="E12" i="4"/>
  <c r="E11" i="4"/>
  <c r="F10" i="4"/>
  <c r="E10" i="4"/>
  <c r="E9" i="4"/>
  <c r="E8" i="4"/>
  <c r="F4" i="4"/>
  <c r="F14" i="4" s="1"/>
  <c r="D144" i="3"/>
  <c r="D10" i="2" s="1"/>
  <c r="F131" i="3"/>
  <c r="F130" i="3"/>
  <c r="F125" i="3"/>
  <c r="F116" i="3"/>
  <c r="F115" i="3"/>
  <c r="F114" i="3"/>
  <c r="F113" i="3"/>
  <c r="F112" i="3"/>
  <c r="F111" i="3"/>
  <c r="F102" i="3"/>
  <c r="F101" i="3"/>
  <c r="F100" i="3"/>
  <c r="F98" i="3"/>
  <c r="F97" i="3"/>
  <c r="H86" i="3"/>
  <c r="G85" i="3"/>
  <c r="G81" i="3"/>
  <c r="G80" i="3"/>
  <c r="G78" i="3"/>
  <c r="G76" i="3"/>
  <c r="G11" i="3"/>
  <c r="G6" i="3"/>
  <c r="C10" i="2"/>
  <c r="C9" i="2"/>
  <c r="C8" i="2"/>
  <c r="C7" i="2"/>
  <c r="C6" i="2"/>
  <c r="C5" i="2"/>
  <c r="B166" i="18" l="1"/>
  <c r="F8" i="4"/>
  <c r="F21" i="4"/>
  <c r="A45" i="13"/>
  <c r="A102" i="13" s="1"/>
  <c r="A154" i="13" s="1"/>
  <c r="A213" i="13" s="1"/>
  <c r="A267" i="13" s="1"/>
  <c r="A49" i="13"/>
  <c r="A106" i="13" s="1"/>
  <c r="A158" i="13" s="1"/>
  <c r="A217" i="13" s="1"/>
  <c r="A271" i="13" s="1"/>
  <c r="A53" i="13"/>
  <c r="A110" i="13" s="1"/>
  <c r="A162" i="13" s="1"/>
  <c r="A221" i="13" s="1"/>
  <c r="D273" i="17"/>
  <c r="B32" i="7" s="1"/>
  <c r="A36" i="13"/>
  <c r="A93" i="13" s="1"/>
  <c r="A145" i="13" s="1"/>
  <c r="A204" i="13" s="1"/>
  <c r="A258" i="13" s="1"/>
  <c r="A91" i="12"/>
  <c r="A119" i="12" s="1"/>
  <c r="A50" i="17" s="1"/>
  <c r="A52" i="13"/>
  <c r="A109" i="13" s="1"/>
  <c r="A161" i="13" s="1"/>
  <c r="F19" i="4"/>
  <c r="A38" i="13"/>
  <c r="A95" i="13" s="1"/>
  <c r="A147" i="13" s="1"/>
  <c r="A206" i="13" s="1"/>
  <c r="A260" i="13" s="1"/>
  <c r="A85" i="12"/>
  <c r="A46" i="13"/>
  <c r="A103" i="13" s="1"/>
  <c r="A155" i="13" s="1"/>
  <c r="A50" i="13"/>
  <c r="A107" i="13" s="1"/>
  <c r="A159" i="13" s="1"/>
  <c r="A218" i="13" s="1"/>
  <c r="A272" i="13" s="1"/>
  <c r="A93" i="12"/>
  <c r="A32" i="18" s="1"/>
  <c r="A54" i="13"/>
  <c r="A111" i="13" s="1"/>
  <c r="A163" i="13" s="1"/>
  <c r="A222" i="13" s="1"/>
  <c r="A84" i="12"/>
  <c r="E34" i="16"/>
  <c r="D185" i="18"/>
  <c r="B33" i="7" s="1"/>
  <c r="A47" i="13"/>
  <c r="A104" i="13" s="1"/>
  <c r="A156" i="13" s="1"/>
  <c r="A215" i="13" s="1"/>
  <c r="A269" i="13" s="1"/>
  <c r="A51" i="13"/>
  <c r="A108" i="13" s="1"/>
  <c r="A160" i="13" s="1"/>
  <c r="A219" i="13" s="1"/>
  <c r="A273" i="13" s="1"/>
  <c r="A55" i="13"/>
  <c r="A112" i="13" s="1"/>
  <c r="A164" i="13" s="1"/>
  <c r="A223" i="13" s="1"/>
  <c r="A13" i="13"/>
  <c r="A70" i="13" s="1"/>
  <c r="A122" i="13" s="1"/>
  <c r="A180" i="13" s="1"/>
  <c r="A235" i="13" s="1"/>
  <c r="A17" i="13"/>
  <c r="A74" i="13" s="1"/>
  <c r="A126" i="13" s="1"/>
  <c r="A184" i="13" s="1"/>
  <c r="A239" i="13" s="1"/>
  <c r="A25" i="13"/>
  <c r="A82" i="13" s="1"/>
  <c r="A134" i="13" s="1"/>
  <c r="A192" i="13" s="1"/>
  <c r="A247" i="13" s="1"/>
  <c r="A29" i="13"/>
  <c r="A86" i="13" s="1"/>
  <c r="A138" i="13" s="1"/>
  <c r="A196" i="13" s="1"/>
  <c r="A251" i="13" s="1"/>
  <c r="A19" i="13"/>
  <c r="A76" i="13" s="1"/>
  <c r="A128" i="13" s="1"/>
  <c r="A186" i="13" s="1"/>
  <c r="A241" i="13" s="1"/>
  <c r="A82" i="11"/>
  <c r="A23" i="13"/>
  <c r="A80" i="13" s="1"/>
  <c r="A132" i="13" s="1"/>
  <c r="A27" i="13"/>
  <c r="A84" i="13" s="1"/>
  <c r="A136" i="13" s="1"/>
  <c r="A194" i="13" s="1"/>
  <c r="A249" i="13" s="1"/>
  <c r="A31" i="13"/>
  <c r="A88" i="13" s="1"/>
  <c r="A140" i="13" s="1"/>
  <c r="A198" i="13" s="1"/>
  <c r="A253" i="13" s="1"/>
  <c r="C89" i="13"/>
  <c r="C141" i="13" s="1"/>
  <c r="G89" i="13"/>
  <c r="G141" i="13" s="1"/>
  <c r="E89" i="13"/>
  <c r="E141" i="13" s="1"/>
  <c r="F89" i="13"/>
  <c r="F141" i="13" s="1"/>
  <c r="H89" i="13"/>
  <c r="H141" i="13" s="1"/>
  <c r="B89" i="13"/>
  <c r="B141" i="13" s="1"/>
  <c r="D199" i="13" s="1"/>
  <c r="D89" i="13"/>
  <c r="D141" i="13" s="1"/>
  <c r="E294" i="13"/>
  <c r="E295" i="13"/>
  <c r="B89" i="4"/>
  <c r="G82" i="3"/>
  <c r="G83" i="3" s="1"/>
  <c r="F14" i="11"/>
  <c r="C95" i="11"/>
  <c r="A111" i="11"/>
  <c r="A25" i="17" s="1"/>
  <c r="A78" i="17" s="1"/>
  <c r="D21" i="12"/>
  <c r="E222" i="13"/>
  <c r="F17" i="4"/>
  <c r="F22" i="4"/>
  <c r="A94" i="12"/>
  <c r="D152" i="17"/>
  <c r="C41" i="18"/>
  <c r="A86" i="12"/>
  <c r="A114" i="12" s="1"/>
  <c r="A45" i="17" s="1"/>
  <c r="F132" i="3"/>
  <c r="D9" i="2" s="1"/>
  <c r="F9" i="2" s="1"/>
  <c r="F12" i="4"/>
  <c r="F15" i="4"/>
  <c r="A80" i="11"/>
  <c r="A23" i="14" s="1"/>
  <c r="A46" i="14" s="1"/>
  <c r="A93" i="14" s="1"/>
  <c r="D19" i="12"/>
  <c r="A77" i="12"/>
  <c r="A214" i="13"/>
  <c r="A268" i="13" s="1"/>
  <c r="F132" i="14"/>
  <c r="F173" i="14" s="1"/>
  <c r="E173" i="14"/>
  <c r="J12" i="16"/>
  <c r="C32" i="16"/>
  <c r="C32" i="11"/>
  <c r="D34" i="11" s="1"/>
  <c r="D25" i="11"/>
  <c r="B106" i="11" s="1"/>
  <c r="D15" i="11"/>
  <c r="B96" i="11" s="1"/>
  <c r="G86" i="3"/>
  <c r="C20" i="9"/>
  <c r="F10" i="2"/>
  <c r="F117" i="3"/>
  <c r="F103" i="3"/>
  <c r="D7" i="2" s="1"/>
  <c r="C17" i="9" s="1"/>
  <c r="J8" i="16"/>
  <c r="B10" i="7"/>
  <c r="E38" i="6"/>
  <c r="D20" i="11"/>
  <c r="E23" i="4"/>
  <c r="B35" i="7" s="1"/>
  <c r="B36" i="7" s="1"/>
  <c r="D86" i="4"/>
  <c r="C43" i="7" s="1"/>
  <c r="E12" i="10" s="1"/>
  <c r="E86" i="4"/>
  <c r="D43" i="7" s="1"/>
  <c r="G86" i="4"/>
  <c r="F43" i="7" s="1"/>
  <c r="F86" i="4"/>
  <c r="R9" i="6"/>
  <c r="A25" i="14"/>
  <c r="A48" i="14" s="1"/>
  <c r="A99" i="14" s="1"/>
  <c r="A107" i="11"/>
  <c r="A21" i="17" s="1"/>
  <c r="V11" i="6"/>
  <c r="V16" i="6" s="1"/>
  <c r="F13" i="4"/>
  <c r="F20" i="4"/>
  <c r="F11" i="4"/>
  <c r="A182" i="13"/>
  <c r="A237" i="13" s="1"/>
  <c r="A74" i="11"/>
  <c r="F18" i="4"/>
  <c r="F9" i="4"/>
  <c r="F16" i="4"/>
  <c r="G4" i="4"/>
  <c r="C86" i="4"/>
  <c r="A225" i="13"/>
  <c r="A276" i="13" s="1"/>
  <c r="A96" i="12"/>
  <c r="C34" i="10"/>
  <c r="C139" i="10"/>
  <c r="C154" i="10"/>
  <c r="C169" i="10"/>
  <c r="J97" i="10"/>
  <c r="B123" i="12"/>
  <c r="F37" i="12"/>
  <c r="H37" i="12" s="1"/>
  <c r="A13" i="14"/>
  <c r="A36" i="14" s="1"/>
  <c r="A57" i="14" s="1"/>
  <c r="A95" i="11"/>
  <c r="A9" i="17" s="1"/>
  <c r="A16" i="18"/>
  <c r="A47" i="18" s="1"/>
  <c r="A79" i="18" s="1"/>
  <c r="A105" i="12"/>
  <c r="A36" i="17" s="1"/>
  <c r="I12" i="10"/>
  <c r="J12" i="10"/>
  <c r="A30" i="18"/>
  <c r="A61" i="18" s="1"/>
  <c r="A122" i="18" s="1"/>
  <c r="H61" i="10"/>
  <c r="C124" i="10"/>
  <c r="D19" i="11"/>
  <c r="B100" i="11" s="1"/>
  <c r="D18" i="11"/>
  <c r="B99" i="11" s="1"/>
  <c r="D17" i="11"/>
  <c r="B98" i="11" s="1"/>
  <c r="D22" i="11"/>
  <c r="B103" i="11" s="1"/>
  <c r="D16" i="11"/>
  <c r="B97" i="11" s="1"/>
  <c r="D21" i="11"/>
  <c r="B102" i="11" s="1"/>
  <c r="A189" i="13"/>
  <c r="A244" i="13" s="1"/>
  <c r="A81" i="11"/>
  <c r="A216" i="13"/>
  <c r="A270" i="13" s="1"/>
  <c r="A87" i="12"/>
  <c r="A23" i="18"/>
  <c r="A54" i="18" s="1"/>
  <c r="A106" i="18" s="1"/>
  <c r="A112" i="12"/>
  <c r="A43" i="17" s="1"/>
  <c r="A195" i="13"/>
  <c r="A250" i="13" s="1"/>
  <c r="A87" i="11"/>
  <c r="A211" i="13"/>
  <c r="A265" i="13" s="1"/>
  <c r="A82" i="12"/>
  <c r="A11" i="13"/>
  <c r="A68" i="13" s="1"/>
  <c r="A120" i="13" s="1"/>
  <c r="A178" i="13" s="1"/>
  <c r="A233" i="13" s="1"/>
  <c r="A187" i="13"/>
  <c r="A242" i="13" s="1"/>
  <c r="A79" i="11"/>
  <c r="A212" i="13"/>
  <c r="A266" i="13" s="1"/>
  <c r="A83" i="12"/>
  <c r="A227" i="13"/>
  <c r="A278" i="13" s="1"/>
  <c r="A98" i="12"/>
  <c r="A25" i="18"/>
  <c r="A56" i="18" s="1"/>
  <c r="A114" i="18" s="1"/>
  <c r="A207" i="13"/>
  <c r="A261" i="13" s="1"/>
  <c r="A78" i="12"/>
  <c r="A33" i="18"/>
  <c r="A122" i="12"/>
  <c r="A53" i="17" s="1"/>
  <c r="A190" i="13"/>
  <c r="A245" i="13" s="1"/>
  <c r="A185" i="13"/>
  <c r="A240" i="13" s="1"/>
  <c r="A77" i="11"/>
  <c r="D20" i="12"/>
  <c r="A79" i="12"/>
  <c r="A208" i="13"/>
  <c r="A262" i="13" s="1"/>
  <c r="A90" i="11"/>
  <c r="A115" i="11" s="1"/>
  <c r="A30" i="17" s="1"/>
  <c r="A203" i="13"/>
  <c r="A257" i="13" s="1"/>
  <c r="A74" i="12"/>
  <c r="A183" i="13"/>
  <c r="A238" i="13" s="1"/>
  <c r="A75" i="11"/>
  <c r="A193" i="13"/>
  <c r="A248" i="13" s="1"/>
  <c r="A85" i="11"/>
  <c r="A72" i="11"/>
  <c r="F21" i="12"/>
  <c r="H21" i="12" s="1"/>
  <c r="B109" i="12"/>
  <c r="A121" i="12"/>
  <c r="A52" i="17" s="1"/>
  <c r="A78" i="11"/>
  <c r="A84" i="11"/>
  <c r="D14" i="12"/>
  <c r="C23" i="12"/>
  <c r="A181" i="13"/>
  <c r="A236" i="13" s="1"/>
  <c r="A73" i="11"/>
  <c r="A71" i="11"/>
  <c r="A12" i="13"/>
  <c r="A69" i="13" s="1"/>
  <c r="A121" i="13" s="1"/>
  <c r="A179" i="13" s="1"/>
  <c r="A234" i="13" s="1"/>
  <c r="A24" i="18"/>
  <c r="A55" i="18" s="1"/>
  <c r="A110" i="18" s="1"/>
  <c r="A113" i="12"/>
  <c r="A44" i="17" s="1"/>
  <c r="A89" i="12"/>
  <c r="A209" i="13"/>
  <c r="A263" i="13" s="1"/>
  <c r="A80" i="12"/>
  <c r="A191" i="13"/>
  <c r="A246" i="13" s="1"/>
  <c r="A83" i="11"/>
  <c r="A88" i="11"/>
  <c r="A81" i="12"/>
  <c r="A210" i="13"/>
  <c r="A264" i="13" s="1"/>
  <c r="A197" i="13"/>
  <c r="A252" i="13" s="1"/>
  <c r="A89" i="11"/>
  <c r="A114" i="11" s="1"/>
  <c r="A29" i="17" s="1"/>
  <c r="A76" i="11"/>
  <c r="A205" i="13"/>
  <c r="A259" i="13" s="1"/>
  <c r="A76" i="12"/>
  <c r="A75" i="12"/>
  <c r="D18" i="12"/>
  <c r="D40" i="12"/>
  <c r="D17" i="12"/>
  <c r="D22" i="12"/>
  <c r="D39" i="12"/>
  <c r="D16" i="12"/>
  <c r="D38" i="12"/>
  <c r="C32" i="12"/>
  <c r="D15" i="12"/>
  <c r="E254" i="13"/>
  <c r="A92" i="12"/>
  <c r="A220" i="13"/>
  <c r="A274" i="13" s="1"/>
  <c r="D151" i="17"/>
  <c r="D218" i="17"/>
  <c r="C116" i="11"/>
  <c r="A226" i="13"/>
  <c r="A277" i="13" s="1"/>
  <c r="A97" i="12"/>
  <c r="A90" i="12"/>
  <c r="A224" i="13"/>
  <c r="A275" i="13" s="1"/>
  <c r="A95" i="12"/>
  <c r="A88" i="12"/>
  <c r="C44" i="18"/>
  <c r="E280" i="13"/>
  <c r="E255" i="13"/>
  <c r="E279" i="13"/>
  <c r="F172" i="13"/>
  <c r="F52" i="16"/>
  <c r="F56" i="16" s="1"/>
  <c r="C31" i="7" s="1"/>
  <c r="F35" i="16"/>
  <c r="F37" i="16"/>
  <c r="G23" i="16"/>
  <c r="G28" i="16" s="1"/>
  <c r="F28" i="16"/>
  <c r="E28" i="16"/>
  <c r="C29" i="16"/>
  <c r="J9" i="16"/>
  <c r="E221" i="13"/>
  <c r="E223" i="13"/>
  <c r="G34" i="16"/>
  <c r="F34" i="16"/>
  <c r="C10" i="15"/>
  <c r="E21" i="15" s="1"/>
  <c r="E23" i="15" s="1"/>
  <c r="D9" i="15"/>
  <c r="C44" i="16"/>
  <c r="E29" i="15"/>
  <c r="A153" i="17"/>
  <c r="A220" i="17" s="1"/>
  <c r="A85" i="17"/>
  <c r="E180" i="18"/>
  <c r="F149" i="18"/>
  <c r="E181" i="18"/>
  <c r="E28" i="15"/>
  <c r="E27" i="15"/>
  <c r="D29" i="15"/>
  <c r="D34" i="15" s="1"/>
  <c r="F17" i="15"/>
  <c r="F29" i="15" s="1"/>
  <c r="E172" i="14"/>
  <c r="E32" i="16"/>
  <c r="C30" i="16"/>
  <c r="J10" i="16"/>
  <c r="F32" i="16"/>
  <c r="G36" i="16"/>
  <c r="F36" i="16"/>
  <c r="E36" i="16"/>
  <c r="E37" i="15"/>
  <c r="E43" i="15" s="1"/>
  <c r="C30" i="7" s="1"/>
  <c r="G32" i="16"/>
  <c r="C31" i="16"/>
  <c r="E266" i="17"/>
  <c r="E268" i="17"/>
  <c r="E205" i="17"/>
  <c r="E265" i="17"/>
  <c r="E267" i="17"/>
  <c r="E243" i="17"/>
  <c r="E214" i="17"/>
  <c r="E38" i="16"/>
  <c r="F124" i="17"/>
  <c r="F219" i="17" s="1"/>
  <c r="F38" i="16"/>
  <c r="A79" i="17"/>
  <c r="A147" i="17"/>
  <c r="A214" i="17" s="1"/>
  <c r="G38" i="16"/>
  <c r="A152" i="17"/>
  <c r="A219" i="17" s="1"/>
  <c r="A84" i="17"/>
  <c r="E33" i="16"/>
  <c r="F33" i="16"/>
  <c r="E152" i="17"/>
  <c r="E219" i="17"/>
  <c r="G33" i="16"/>
  <c r="E40" i="18"/>
  <c r="F20" i="11" l="1"/>
  <c r="H20" i="11" s="1"/>
  <c r="B101" i="11"/>
  <c r="F172" i="14"/>
  <c r="E177" i="14"/>
  <c r="C29" i="7" s="1"/>
  <c r="D6" i="2"/>
  <c r="D8" i="2"/>
  <c r="C61" i="4" s="1"/>
  <c r="C89" i="4"/>
  <c r="D89" i="4" s="1"/>
  <c r="E89" i="4" s="1"/>
  <c r="F89" i="4" s="1"/>
  <c r="G89" i="4" s="1"/>
  <c r="A146" i="17"/>
  <c r="A213" i="17" s="1"/>
  <c r="O11" i="6"/>
  <c r="G132" i="14"/>
  <c r="G173" i="14" s="1"/>
  <c r="A105" i="11"/>
  <c r="A19" i="17" s="1"/>
  <c r="A72" i="17" s="1"/>
  <c r="D254" i="13"/>
  <c r="F223" i="13"/>
  <c r="F295" i="13"/>
  <c r="E301" i="13"/>
  <c r="C28" i="7" s="1"/>
  <c r="E199" i="13"/>
  <c r="C55" i="4"/>
  <c r="F56" i="4" s="1"/>
  <c r="C19" i="9"/>
  <c r="F177" i="14"/>
  <c r="D29" i="7" s="1"/>
  <c r="B107" i="12"/>
  <c r="F19" i="12"/>
  <c r="H19" i="12" s="1"/>
  <c r="D36" i="11"/>
  <c r="F36" i="11" s="1"/>
  <c r="H36" i="11" s="1"/>
  <c r="D35" i="11"/>
  <c r="F35" i="11" s="1"/>
  <c r="H35" i="11" s="1"/>
  <c r="B89" i="11" s="1"/>
  <c r="C89" i="11" s="1"/>
  <c r="D89" i="11" s="1"/>
  <c r="E89" i="11" s="1"/>
  <c r="F89" i="11" s="1"/>
  <c r="G89" i="11" s="1"/>
  <c r="H89" i="11" s="1"/>
  <c r="C15" i="17"/>
  <c r="C68" i="17" s="1"/>
  <c r="J28" i="11"/>
  <c r="D33" i="11"/>
  <c r="B112" i="11" s="1"/>
  <c r="C112" i="11" s="1"/>
  <c r="D112" i="11" s="1"/>
  <c r="E112" i="11" s="1"/>
  <c r="F112" i="11" s="1"/>
  <c r="G112" i="11" s="1"/>
  <c r="H112" i="11" s="1"/>
  <c r="D61" i="10"/>
  <c r="E97" i="10"/>
  <c r="C49" i="4"/>
  <c r="K49" i="4" s="1"/>
  <c r="F7" i="2"/>
  <c r="E185" i="18"/>
  <c r="C33" i="7" s="1"/>
  <c r="C43" i="16"/>
  <c r="F43" i="16" s="1"/>
  <c r="B76" i="11"/>
  <c r="B48" i="11"/>
  <c r="B17" i="13" s="1"/>
  <c r="B74" i="13" s="1"/>
  <c r="B126" i="13" s="1"/>
  <c r="F23" i="4"/>
  <c r="C35" i="7" s="1"/>
  <c r="E87" i="4"/>
  <c r="D87" i="4"/>
  <c r="G87" i="4"/>
  <c r="F97" i="10"/>
  <c r="F12" i="10"/>
  <c r="E61" i="10"/>
  <c r="D45" i="15"/>
  <c r="D47" i="15" s="1"/>
  <c r="B20" i="7"/>
  <c r="E51" i="6"/>
  <c r="E43" i="16"/>
  <c r="C10" i="7"/>
  <c r="F38" i="6"/>
  <c r="A14" i="14"/>
  <c r="A37" i="14" s="1"/>
  <c r="A61" i="14" s="1"/>
  <c r="A96" i="11"/>
  <c r="A10" i="17" s="1"/>
  <c r="A27" i="18"/>
  <c r="A58" i="18" s="1"/>
  <c r="A119" i="18" s="1"/>
  <c r="A116" i="12"/>
  <c r="A47" i="17" s="1"/>
  <c r="A16" i="14"/>
  <c r="A39" i="14" s="1"/>
  <c r="A68" i="14" s="1"/>
  <c r="A98" i="11"/>
  <c r="A12" i="17" s="1"/>
  <c r="A151" i="17"/>
  <c r="A218" i="17" s="1"/>
  <c r="A83" i="17"/>
  <c r="F18" i="11"/>
  <c r="H18" i="11" s="1"/>
  <c r="C54" i="17"/>
  <c r="C107" i="17" s="1"/>
  <c r="C123" i="12"/>
  <c r="B43" i="7"/>
  <c r="C87" i="4"/>
  <c r="F222" i="13"/>
  <c r="A19" i="14"/>
  <c r="A42" i="14" s="1"/>
  <c r="A79" i="14" s="1"/>
  <c r="A101" i="11"/>
  <c r="A15" i="17" s="1"/>
  <c r="A37" i="18"/>
  <c r="A65" i="18" s="1"/>
  <c r="A135" i="18" s="1"/>
  <c r="A126" i="12"/>
  <c r="A57" i="17" s="1"/>
  <c r="A26" i="18"/>
  <c r="A57" i="18" s="1"/>
  <c r="A118" i="18" s="1"/>
  <c r="A115" i="12"/>
  <c r="A46" i="17" s="1"/>
  <c r="F19" i="11"/>
  <c r="H19" i="11" s="1"/>
  <c r="H4" i="4"/>
  <c r="G16" i="4"/>
  <c r="G9" i="4"/>
  <c r="G18" i="4"/>
  <c r="G11" i="4"/>
  <c r="G19" i="4"/>
  <c r="G14" i="4"/>
  <c r="G20" i="4"/>
  <c r="G13" i="4"/>
  <c r="G15" i="4"/>
  <c r="G8" i="4"/>
  <c r="G22" i="4"/>
  <c r="G21" i="4"/>
  <c r="G17" i="4"/>
  <c r="G10" i="4"/>
  <c r="G12" i="4"/>
  <c r="E43" i="7"/>
  <c r="F87" i="4"/>
  <c r="A31" i="18"/>
  <c r="A120" i="12"/>
  <c r="A51" i="17" s="1"/>
  <c r="A82" i="17"/>
  <c r="A150" i="17"/>
  <c r="A217" i="17" s="1"/>
  <c r="F14" i="12"/>
  <c r="H14" i="12" s="1"/>
  <c r="B102" i="12"/>
  <c r="N14" i="12"/>
  <c r="H74" i="12" s="1"/>
  <c r="H13" i="18" s="1"/>
  <c r="M14" i="12"/>
  <c r="G74" i="12" s="1"/>
  <c r="G13" i="18" s="1"/>
  <c r="L14" i="12"/>
  <c r="F74" i="12" s="1"/>
  <c r="F13" i="18" s="1"/>
  <c r="K14" i="12"/>
  <c r="E74" i="12" s="1"/>
  <c r="E13" i="18" s="1"/>
  <c r="J14" i="12"/>
  <c r="D74" i="12" s="1"/>
  <c r="D13" i="18" s="1"/>
  <c r="A22" i="18"/>
  <c r="A53" i="18" s="1"/>
  <c r="A102" i="18" s="1"/>
  <c r="A111" i="12"/>
  <c r="A42" i="17" s="1"/>
  <c r="C146" i="10"/>
  <c r="C161" i="10"/>
  <c r="C131" i="10"/>
  <c r="C176" i="10"/>
  <c r="C23" i="9"/>
  <c r="B95" i="12"/>
  <c r="B67" i="12"/>
  <c r="B56" i="13" s="1"/>
  <c r="B113" i="13" s="1"/>
  <c r="B165" i="13" s="1"/>
  <c r="A34" i="18"/>
  <c r="A62" i="18" s="1"/>
  <c r="A123" i="18" s="1"/>
  <c r="A123" i="12"/>
  <c r="A54" i="17" s="1"/>
  <c r="F152" i="17"/>
  <c r="A27" i="14"/>
  <c r="A50" i="14" s="1"/>
  <c r="A105" i="14" s="1"/>
  <c r="A109" i="11"/>
  <c r="A23" i="17" s="1"/>
  <c r="A18" i="18"/>
  <c r="A49" i="18" s="1"/>
  <c r="A87" i="18" s="1"/>
  <c r="A107" i="12"/>
  <c r="A38" i="17" s="1"/>
  <c r="A171" i="17"/>
  <c r="A238" i="17" s="1"/>
  <c r="A103" i="17"/>
  <c r="F268" i="17"/>
  <c r="F205" i="17"/>
  <c r="F267" i="17"/>
  <c r="F243" i="17"/>
  <c r="F266" i="17"/>
  <c r="F214" i="17"/>
  <c r="F265" i="17"/>
  <c r="G124" i="17"/>
  <c r="A29" i="18"/>
  <c r="A60" i="18" s="1"/>
  <c r="A121" i="18" s="1"/>
  <c r="A118" i="12"/>
  <c r="A49" i="17" s="1"/>
  <c r="B103" i="12"/>
  <c r="F15" i="12"/>
  <c r="H15" i="12" s="1"/>
  <c r="A20" i="18"/>
  <c r="A51" i="18" s="1"/>
  <c r="A94" i="18" s="1"/>
  <c r="A109" i="12"/>
  <c r="A40" i="17" s="1"/>
  <c r="A21" i="14"/>
  <c r="A44" i="14" s="1"/>
  <c r="A86" i="14" s="1"/>
  <c r="A103" i="11"/>
  <c r="B108" i="12"/>
  <c r="F20" i="12"/>
  <c r="H20" i="12" s="1"/>
  <c r="A140" i="17"/>
  <c r="A207" i="17" s="1"/>
  <c r="F28" i="15"/>
  <c r="F27" i="15"/>
  <c r="F37" i="15"/>
  <c r="F43" i="15" s="1"/>
  <c r="D30" i="7" s="1"/>
  <c r="G17" i="15"/>
  <c r="F199" i="13"/>
  <c r="D34" i="12"/>
  <c r="D36" i="12"/>
  <c r="D35" i="12"/>
  <c r="D33" i="12"/>
  <c r="A31" i="14"/>
  <c r="A54" i="14" s="1"/>
  <c r="A117" i="14" s="1"/>
  <c r="A113" i="11"/>
  <c r="A28" i="17" s="1"/>
  <c r="A173" i="17"/>
  <c r="A105" i="17"/>
  <c r="A20" i="14"/>
  <c r="A43" i="14" s="1"/>
  <c r="A82" i="14" s="1"/>
  <c r="A102" i="11"/>
  <c r="A16" i="17" s="1"/>
  <c r="A22" i="14"/>
  <c r="A45" i="14" s="1"/>
  <c r="A90" i="14" s="1"/>
  <c r="A104" i="11"/>
  <c r="A18" i="17" s="1"/>
  <c r="F254" i="13"/>
  <c r="B124" i="12"/>
  <c r="F38" i="12"/>
  <c r="H38" i="12" s="1"/>
  <c r="A26" i="14"/>
  <c r="A49" i="14" s="1"/>
  <c r="A102" i="14" s="1"/>
  <c r="A108" i="11"/>
  <c r="A22" i="17" s="1"/>
  <c r="C40" i="17"/>
  <c r="C93" i="17" s="1"/>
  <c r="C109" i="12"/>
  <c r="A24" i="14"/>
  <c r="A47" i="14" s="1"/>
  <c r="A96" i="14" s="1"/>
  <c r="A106" i="11"/>
  <c r="A20" i="17" s="1"/>
  <c r="H97" i="10"/>
  <c r="G61" i="10"/>
  <c r="H12" i="10"/>
  <c r="A164" i="17"/>
  <c r="A231" i="17" s="1"/>
  <c r="A96" i="17"/>
  <c r="B81" i="12"/>
  <c r="B53" i="12"/>
  <c r="B42" i="13" s="1"/>
  <c r="B99" i="13" s="1"/>
  <c r="B151" i="13" s="1"/>
  <c r="A157" i="17"/>
  <c r="A224" i="17" s="1"/>
  <c r="A89" i="17"/>
  <c r="A74" i="17"/>
  <c r="A142" i="17"/>
  <c r="A209" i="17" s="1"/>
  <c r="A166" i="17"/>
  <c r="A233" i="17" s="1"/>
  <c r="A98" i="17"/>
  <c r="E41" i="18"/>
  <c r="F40" i="18"/>
  <c r="E34" i="15"/>
  <c r="F221" i="13"/>
  <c r="B125" i="12"/>
  <c r="F39" i="12"/>
  <c r="H39" i="12" s="1"/>
  <c r="A19" i="18"/>
  <c r="A50" i="18" s="1"/>
  <c r="A91" i="18" s="1"/>
  <c r="A108" i="12"/>
  <c r="A39" i="17" s="1"/>
  <c r="A15" i="14"/>
  <c r="A38" i="14" s="1"/>
  <c r="A64" i="14" s="1"/>
  <c r="A97" i="11"/>
  <c r="A11" i="17" s="1"/>
  <c r="A174" i="17"/>
  <c r="A106" i="17"/>
  <c r="A21" i="18"/>
  <c r="A52" i="18" s="1"/>
  <c r="A98" i="18" s="1"/>
  <c r="A110" i="12"/>
  <c r="A41" i="17" s="1"/>
  <c r="F15" i="11"/>
  <c r="H15" i="11" s="1"/>
  <c r="B71" i="11" s="1"/>
  <c r="C71" i="11" s="1"/>
  <c r="A17" i="14"/>
  <c r="A40" i="14" s="1"/>
  <c r="A71" i="14" s="1"/>
  <c r="A99" i="11"/>
  <c r="A13" i="17" s="1"/>
  <c r="E273" i="17"/>
  <c r="C32" i="7" s="1"/>
  <c r="E44" i="16"/>
  <c r="G44" i="16"/>
  <c r="F44" i="16"/>
  <c r="D30" i="17"/>
  <c r="D83" i="17" s="1"/>
  <c r="D116" i="11"/>
  <c r="B110" i="12"/>
  <c r="F22" i="12"/>
  <c r="H22" i="12" s="1"/>
  <c r="A28" i="14"/>
  <c r="A51" i="14" s="1"/>
  <c r="A108" i="14" s="1"/>
  <c r="A110" i="11"/>
  <c r="A24" i="17" s="1"/>
  <c r="F21" i="11"/>
  <c r="H21" i="11" s="1"/>
  <c r="A35" i="18"/>
  <c r="A63" i="18" s="1"/>
  <c r="A127" i="18" s="1"/>
  <c r="A124" i="12"/>
  <c r="A55" i="17" s="1"/>
  <c r="A15" i="18"/>
  <c r="A46" i="18" s="1"/>
  <c r="A75" i="18" s="1"/>
  <c r="A104" i="12"/>
  <c r="A35" i="17" s="1"/>
  <c r="F280" i="13"/>
  <c r="F255" i="13"/>
  <c r="G172" i="13"/>
  <c r="G295" i="13" s="1"/>
  <c r="F294" i="13"/>
  <c r="F279" i="13"/>
  <c r="A36" i="18"/>
  <c r="A64" i="18" s="1"/>
  <c r="A131" i="18" s="1"/>
  <c r="A125" i="12"/>
  <c r="A56" i="17" s="1"/>
  <c r="G52" i="16"/>
  <c r="G56" i="16" s="1"/>
  <c r="D31" i="7" s="1"/>
  <c r="G35" i="16"/>
  <c r="H23" i="16"/>
  <c r="H43" i="16" s="1"/>
  <c r="G37" i="16"/>
  <c r="B105" i="12"/>
  <c r="F17" i="12"/>
  <c r="H17" i="12" s="1"/>
  <c r="A28" i="18"/>
  <c r="A59" i="18" s="1"/>
  <c r="A120" i="18" s="1"/>
  <c r="A117" i="12"/>
  <c r="A48" i="17" s="1"/>
  <c r="A17" i="18"/>
  <c r="A48" i="18" s="1"/>
  <c r="A83" i="18" s="1"/>
  <c r="A106" i="12"/>
  <c r="A37" i="17" s="1"/>
  <c r="F16" i="11"/>
  <c r="H16" i="11" s="1"/>
  <c r="A130" i="17"/>
  <c r="A197" i="17" s="1"/>
  <c r="A62" i="17"/>
  <c r="F16" i="12"/>
  <c r="H16" i="12" s="1"/>
  <c r="B104" i="12"/>
  <c r="F30" i="16"/>
  <c r="E30" i="16"/>
  <c r="G30" i="16"/>
  <c r="F180" i="18"/>
  <c r="F181" i="18"/>
  <c r="G149" i="18"/>
  <c r="G29" i="16"/>
  <c r="F29" i="16"/>
  <c r="E29" i="16"/>
  <c r="B126" i="12"/>
  <c r="F40" i="12"/>
  <c r="H40" i="12" s="1"/>
  <c r="A165" i="17"/>
  <c r="A232" i="17" s="1"/>
  <c r="A97" i="17"/>
  <c r="A18" i="14"/>
  <c r="A41" i="14" s="1"/>
  <c r="A76" i="14" s="1"/>
  <c r="A100" i="11"/>
  <c r="A14" i="17" s="1"/>
  <c r="C103" i="11"/>
  <c r="D103" i="11" s="1"/>
  <c r="E103" i="11" s="1"/>
  <c r="F103" i="11" s="1"/>
  <c r="G103" i="11" s="1"/>
  <c r="H103" i="11" s="1"/>
  <c r="F22" i="11"/>
  <c r="H22" i="11" s="1"/>
  <c r="D31" i="11"/>
  <c r="D30" i="11"/>
  <c r="D24" i="11"/>
  <c r="B105" i="11" s="1"/>
  <c r="D29" i="11"/>
  <c r="D28" i="11"/>
  <c r="D27" i="11"/>
  <c r="B108" i="11" s="1"/>
  <c r="D26" i="11"/>
  <c r="B107" i="11" s="1"/>
  <c r="D24" i="12"/>
  <c r="D28" i="12"/>
  <c r="D26" i="12"/>
  <c r="D25" i="12"/>
  <c r="D31" i="12"/>
  <c r="D30" i="12"/>
  <c r="D29" i="12"/>
  <c r="D27" i="12"/>
  <c r="F18" i="12"/>
  <c r="H18" i="12" s="1"/>
  <c r="B106" i="12"/>
  <c r="A30" i="14"/>
  <c r="A53" i="14" s="1"/>
  <c r="A114" i="14" s="1"/>
  <c r="A112" i="11"/>
  <c r="A27" i="17" s="1"/>
  <c r="F17" i="11"/>
  <c r="H17" i="11" s="1"/>
  <c r="B73" i="11" s="1"/>
  <c r="B114" i="11"/>
  <c r="B113" i="11"/>
  <c r="F34" i="11"/>
  <c r="H34" i="11" s="1"/>
  <c r="G31" i="16"/>
  <c r="F31" i="16"/>
  <c r="E31" i="16"/>
  <c r="D10" i="15"/>
  <c r="F21" i="15" s="1"/>
  <c r="F23" i="15" s="1"/>
  <c r="E9" i="15"/>
  <c r="A14" i="18"/>
  <c r="A45" i="18" s="1"/>
  <c r="A71" i="18" s="1"/>
  <c r="A103" i="12"/>
  <c r="A34" i="17" s="1"/>
  <c r="A13" i="18"/>
  <c r="A44" i="18" s="1"/>
  <c r="A67" i="18" s="1"/>
  <c r="A102" i="12"/>
  <c r="A33" i="17" s="1"/>
  <c r="H14" i="11"/>
  <c r="B67" i="11" l="1"/>
  <c r="B42" i="11"/>
  <c r="C18" i="9"/>
  <c r="G172" i="14"/>
  <c r="G177" i="14" s="1"/>
  <c r="E29" i="7" s="1"/>
  <c r="F8" i="2"/>
  <c r="H62" i="4"/>
  <c r="D62" i="4"/>
  <c r="I62" i="4"/>
  <c r="G62" i="4"/>
  <c r="C62" i="4"/>
  <c r="C63" i="4" s="1"/>
  <c r="K61" i="4"/>
  <c r="K62" i="4" s="1"/>
  <c r="K63" i="4" s="1"/>
  <c r="F62" i="4"/>
  <c r="E62" i="4"/>
  <c r="P11" i="6"/>
  <c r="O16" i="6"/>
  <c r="G43" i="16"/>
  <c r="H132" i="14"/>
  <c r="H173" i="14" s="1"/>
  <c r="F301" i="13"/>
  <c r="D28" i="7" s="1"/>
  <c r="C73" i="11"/>
  <c r="B13" i="14"/>
  <c r="B36" i="14" s="1"/>
  <c r="B57" i="14" s="1"/>
  <c r="C67" i="11"/>
  <c r="C76" i="11"/>
  <c r="C19" i="14" s="1"/>
  <c r="B19" i="14"/>
  <c r="B42" i="14" s="1"/>
  <c r="C42" i="11"/>
  <c r="D42" i="11" s="1"/>
  <c r="E42" i="11" s="1"/>
  <c r="F42" i="11" s="1"/>
  <c r="G42" i="11" s="1"/>
  <c r="H42" i="11" s="1"/>
  <c r="G199" i="13"/>
  <c r="B43" i="11"/>
  <c r="G56" i="4"/>
  <c r="C56" i="4"/>
  <c r="C57" i="4" s="1"/>
  <c r="E56" i="4"/>
  <c r="I56" i="4"/>
  <c r="D56" i="4"/>
  <c r="H56" i="4"/>
  <c r="K55" i="4"/>
  <c r="K56" i="4" s="1"/>
  <c r="K57" i="4" s="1"/>
  <c r="B51" i="12"/>
  <c r="B40" i="13" s="1"/>
  <c r="B97" i="13" s="1"/>
  <c r="B149" i="13" s="1"/>
  <c r="B79" i="12"/>
  <c r="H44" i="16"/>
  <c r="H49" i="16" s="1"/>
  <c r="C107" i="12"/>
  <c r="C38" i="17"/>
  <c r="C91" i="17" s="1"/>
  <c r="C101" i="11"/>
  <c r="D101" i="11" s="1"/>
  <c r="B115" i="11"/>
  <c r="C29" i="17" s="1"/>
  <c r="C82" i="17" s="1"/>
  <c r="B61" i="11"/>
  <c r="L14" i="11"/>
  <c r="K14" i="11"/>
  <c r="J14" i="11"/>
  <c r="M14" i="11"/>
  <c r="N14" i="11"/>
  <c r="N15" i="11"/>
  <c r="M15" i="11"/>
  <c r="L15" i="11"/>
  <c r="K15" i="11"/>
  <c r="J15" i="11"/>
  <c r="F33" i="11"/>
  <c r="H33" i="11" s="1"/>
  <c r="B87" i="11" s="1"/>
  <c r="E50" i="4"/>
  <c r="H50" i="4"/>
  <c r="C64" i="4"/>
  <c r="D61" i="4" s="1"/>
  <c r="C50" i="4"/>
  <c r="C52" i="4" s="1"/>
  <c r="D49" i="4" s="1"/>
  <c r="F50" i="4"/>
  <c r="G50" i="4"/>
  <c r="D50" i="4"/>
  <c r="I50" i="4"/>
  <c r="F6" i="2"/>
  <c r="C16" i="9"/>
  <c r="C43" i="4"/>
  <c r="G44" i="4" s="1"/>
  <c r="C36" i="7"/>
  <c r="D131" i="10" s="1"/>
  <c r="F185" i="18"/>
  <c r="D33" i="7" s="1"/>
  <c r="G39" i="16"/>
  <c r="G35" i="6" s="1"/>
  <c r="E39" i="16"/>
  <c r="B11" i="7" s="1"/>
  <c r="F39" i="16"/>
  <c r="C11" i="7" s="1"/>
  <c r="F34" i="15"/>
  <c r="C48" i="11"/>
  <c r="C17" i="13" s="1"/>
  <c r="C74" i="13" s="1"/>
  <c r="C126" i="13" s="1"/>
  <c r="D11" i="7"/>
  <c r="A149" i="17"/>
  <c r="A216" i="17" s="1"/>
  <c r="A81" i="17"/>
  <c r="C39" i="17"/>
  <c r="C92" i="17" s="1"/>
  <c r="C108" i="12"/>
  <c r="B34" i="18"/>
  <c r="B62" i="18" s="1"/>
  <c r="C95" i="12"/>
  <c r="A163" i="17"/>
  <c r="A230" i="17" s="1"/>
  <c r="A95" i="17"/>
  <c r="A136" i="17"/>
  <c r="A203" i="17" s="1"/>
  <c r="A68" i="17"/>
  <c r="A132" i="17"/>
  <c r="A199" i="17" s="1"/>
  <c r="A64" i="17"/>
  <c r="C53" i="12"/>
  <c r="C42" i="13" s="1"/>
  <c r="C99" i="13" s="1"/>
  <c r="C151" i="13" s="1"/>
  <c r="B96" i="12"/>
  <c r="B68" i="12"/>
  <c r="B57" i="13" s="1"/>
  <c r="B114" i="13" s="1"/>
  <c r="B166" i="13" s="1"/>
  <c r="A177" i="17"/>
  <c r="A241" i="17" s="1"/>
  <c r="A109" i="17"/>
  <c r="B88" i="11"/>
  <c r="B60" i="11"/>
  <c r="B29" i="13" s="1"/>
  <c r="B86" i="13" s="1"/>
  <c r="B138" i="13" s="1"/>
  <c r="F31" i="12"/>
  <c r="H31" i="12" s="1"/>
  <c r="B118" i="12"/>
  <c r="B20" i="18"/>
  <c r="B51" i="18" s="1"/>
  <c r="C81" i="12"/>
  <c r="C55" i="17"/>
  <c r="C108" i="17" s="1"/>
  <c r="C124" i="12"/>
  <c r="F33" i="12"/>
  <c r="H33" i="12" s="1"/>
  <c r="B119" i="12"/>
  <c r="D44" i="18"/>
  <c r="D34" i="10"/>
  <c r="D139" i="10"/>
  <c r="D154" i="10"/>
  <c r="D169" i="10"/>
  <c r="D124" i="10"/>
  <c r="B112" i="12"/>
  <c r="F25" i="12"/>
  <c r="H25" i="12" s="1"/>
  <c r="A160" i="17"/>
  <c r="A227" i="17" s="1"/>
  <c r="A92" i="17"/>
  <c r="F35" i="12"/>
  <c r="H35" i="12" s="1"/>
  <c r="B121" i="12"/>
  <c r="A161" i="17"/>
  <c r="A228" i="17" s="1"/>
  <c r="A93" i="17"/>
  <c r="E44" i="18"/>
  <c r="F26" i="12"/>
  <c r="H26" i="12" s="1"/>
  <c r="B113" i="12"/>
  <c r="B98" i="12"/>
  <c r="B70" i="12"/>
  <c r="B59" i="13" s="1"/>
  <c r="B116" i="13" s="1"/>
  <c r="B168" i="13" s="1"/>
  <c r="A158" i="17"/>
  <c r="A225" i="17" s="1"/>
  <c r="A90" i="17"/>
  <c r="G280" i="13"/>
  <c r="G255" i="13"/>
  <c r="G294" i="13"/>
  <c r="G301" i="13" s="1"/>
  <c r="E28" i="7" s="1"/>
  <c r="G279" i="13"/>
  <c r="H172" i="13"/>
  <c r="H295" i="13" s="1"/>
  <c r="G223" i="13"/>
  <c r="G221" i="13"/>
  <c r="G222" i="13"/>
  <c r="B122" i="12"/>
  <c r="F36" i="12"/>
  <c r="H36" i="12" s="1"/>
  <c r="C61" i="10"/>
  <c r="D97" i="10"/>
  <c r="D12" i="10"/>
  <c r="B18" i="8"/>
  <c r="C18" i="8" s="1"/>
  <c r="D18" i="8" s="1"/>
  <c r="E18" i="8" s="1"/>
  <c r="F18" i="8" s="1"/>
  <c r="G18" i="8" s="1"/>
  <c r="H18" i="8" s="1"/>
  <c r="I132" i="14"/>
  <c r="I173" i="14" s="1"/>
  <c r="C57" i="17"/>
  <c r="C110" i="17" s="1"/>
  <c r="C126" i="12"/>
  <c r="A176" i="17"/>
  <c r="A240" i="17" s="1"/>
  <c r="A108" i="17"/>
  <c r="B97" i="12"/>
  <c r="B69" i="12"/>
  <c r="B58" i="13" s="1"/>
  <c r="B115" i="13" s="1"/>
  <c r="B167" i="13" s="1"/>
  <c r="B90" i="11"/>
  <c r="C90" i="11" s="1"/>
  <c r="D90" i="11" s="1"/>
  <c r="E90" i="11" s="1"/>
  <c r="F90" i="11" s="1"/>
  <c r="G90" i="11" s="1"/>
  <c r="H90" i="11" s="1"/>
  <c r="B62" i="11"/>
  <c r="B31" i="13" s="1"/>
  <c r="B88" i="13" s="1"/>
  <c r="B140" i="13" s="1"/>
  <c r="B120" i="12"/>
  <c r="F34" i="12"/>
  <c r="H34" i="12" s="1"/>
  <c r="B47" i="12"/>
  <c r="B36" i="13" s="1"/>
  <c r="B93" i="13" s="1"/>
  <c r="B145" i="13" s="1"/>
  <c r="B75" i="12"/>
  <c r="D54" i="17"/>
  <c r="D107" i="17" s="1"/>
  <c r="D123" i="12"/>
  <c r="A155" i="17"/>
  <c r="A222" i="17" s="1"/>
  <c r="A87" i="17"/>
  <c r="B45" i="11"/>
  <c r="B14" i="13" s="1"/>
  <c r="B71" i="13" s="1"/>
  <c r="B123" i="13" s="1"/>
  <c r="F24" i="12"/>
  <c r="H24" i="12" s="1"/>
  <c r="B111" i="12"/>
  <c r="K50" i="4"/>
  <c r="K52" i="4" s="1"/>
  <c r="H30" i="16"/>
  <c r="A169" i="17"/>
  <c r="A236" i="17" s="1"/>
  <c r="A101" i="17"/>
  <c r="C56" i="17"/>
  <c r="C109" i="17" s="1"/>
  <c r="C125" i="12"/>
  <c r="C34" i="17"/>
  <c r="C87" i="17" s="1"/>
  <c r="C103" i="12"/>
  <c r="D175" i="17"/>
  <c r="D239" i="17"/>
  <c r="E49" i="16"/>
  <c r="C12" i="17"/>
  <c r="C65" i="17" s="1"/>
  <c r="C98" i="11"/>
  <c r="F26" i="11"/>
  <c r="H26" i="11" s="1"/>
  <c r="G28" i="15"/>
  <c r="G27" i="15"/>
  <c r="G37" i="15"/>
  <c r="G43" i="15" s="1"/>
  <c r="E30" i="7" s="1"/>
  <c r="H17" i="15"/>
  <c r="G29" i="15"/>
  <c r="A170" i="17"/>
  <c r="A237" i="17" s="1"/>
  <c r="A102" i="17"/>
  <c r="C33" i="17"/>
  <c r="C86" i="17" s="1"/>
  <c r="C102" i="12"/>
  <c r="C13" i="17"/>
  <c r="C66" i="17" s="1"/>
  <c r="C99" i="11"/>
  <c r="F49" i="16"/>
  <c r="A80" i="17"/>
  <c r="A148" i="17"/>
  <c r="A215" i="17" s="1"/>
  <c r="F27" i="11"/>
  <c r="H27" i="11" s="1"/>
  <c r="B49" i="12"/>
  <c r="B38" i="13" s="1"/>
  <c r="B95" i="13" s="1"/>
  <c r="B147" i="13" s="1"/>
  <c r="B77" i="12"/>
  <c r="D203" i="17"/>
  <c r="D136" i="17"/>
  <c r="E45" i="15"/>
  <c r="E47" i="15" s="1"/>
  <c r="C20" i="7"/>
  <c r="F51" i="6"/>
  <c r="A159" i="17"/>
  <c r="A226" i="17" s="1"/>
  <c r="A91" i="17"/>
  <c r="B74" i="12"/>
  <c r="B13" i="18" s="1"/>
  <c r="B46" i="12"/>
  <c r="B35" i="13" s="1"/>
  <c r="G97" i="10"/>
  <c r="G12" i="10"/>
  <c r="F61" i="10"/>
  <c r="H16" i="4"/>
  <c r="H9" i="4"/>
  <c r="H18" i="4"/>
  <c r="H11" i="4"/>
  <c r="H20" i="4"/>
  <c r="H13" i="4"/>
  <c r="H22" i="4"/>
  <c r="H8" i="4"/>
  <c r="H14" i="4"/>
  <c r="H15" i="4"/>
  <c r="H17" i="4"/>
  <c r="H10" i="4"/>
  <c r="H19" i="4"/>
  <c r="I4" i="4"/>
  <c r="H12" i="4"/>
  <c r="H21" i="4"/>
  <c r="B74" i="11"/>
  <c r="B46" i="11"/>
  <c r="B15" i="13" s="1"/>
  <c r="B72" i="13" s="1"/>
  <c r="B124" i="13" s="1"/>
  <c r="G49" i="16"/>
  <c r="E151" i="17"/>
  <c r="E218" i="17"/>
  <c r="B117" i="12"/>
  <c r="F30" i="12"/>
  <c r="H30" i="12" s="1"/>
  <c r="C27" i="17"/>
  <c r="C80" i="17" s="1"/>
  <c r="C113" i="11"/>
  <c r="B115" i="12"/>
  <c r="F28" i="12"/>
  <c r="H28" i="12" s="1"/>
  <c r="H29" i="16"/>
  <c r="C35" i="17"/>
  <c r="C88" i="17" s="1"/>
  <c r="C104" i="12"/>
  <c r="C36" i="17"/>
  <c r="C89" i="17" s="1"/>
  <c r="C105" i="12"/>
  <c r="A156" i="17"/>
  <c r="A223" i="17" s="1"/>
  <c r="A88" i="17"/>
  <c r="B77" i="11"/>
  <c r="B49" i="11"/>
  <c r="B18" i="13" s="1"/>
  <c r="B75" i="13" s="1"/>
  <c r="B127" i="13" s="1"/>
  <c r="A134" i="17"/>
  <c r="A201" i="17" s="1"/>
  <c r="A66" i="17"/>
  <c r="F41" i="18"/>
  <c r="F44" i="18" s="1"/>
  <c r="G40" i="18"/>
  <c r="F45" i="15"/>
  <c r="F47" i="15" s="1"/>
  <c r="D20" i="7"/>
  <c r="G51" i="6"/>
  <c r="B75" i="11"/>
  <c r="B47" i="11"/>
  <c r="B16" i="13" s="1"/>
  <c r="B73" i="13" s="1"/>
  <c r="B125" i="13" s="1"/>
  <c r="F29" i="12"/>
  <c r="H29" i="12" s="1"/>
  <c r="B116" i="12"/>
  <c r="C11" i="17"/>
  <c r="C64" i="17" s="1"/>
  <c r="C97" i="11"/>
  <c r="E10" i="15"/>
  <c r="G21" i="15" s="1"/>
  <c r="G23" i="15" s="1"/>
  <c r="F9" i="15"/>
  <c r="D10" i="7"/>
  <c r="G38" i="6"/>
  <c r="F28" i="11"/>
  <c r="H28" i="11" s="1"/>
  <c r="F29" i="11"/>
  <c r="H29" i="11" s="1"/>
  <c r="B109" i="11"/>
  <c r="B76" i="12"/>
  <c r="B48" i="12"/>
  <c r="B37" i="13" s="1"/>
  <c r="B94" i="13" s="1"/>
  <c r="B146" i="13" s="1"/>
  <c r="C16" i="17"/>
  <c r="C69" i="17" s="1"/>
  <c r="C102" i="11"/>
  <c r="A71" i="17"/>
  <c r="A139" i="17"/>
  <c r="A206" i="17" s="1"/>
  <c r="A76" i="17"/>
  <c r="A144" i="17"/>
  <c r="A211" i="17" s="1"/>
  <c r="C14" i="17"/>
  <c r="C67" i="17" s="1"/>
  <c r="C100" i="11"/>
  <c r="F24" i="11"/>
  <c r="H24" i="11" s="1"/>
  <c r="H35" i="16"/>
  <c r="I23" i="16"/>
  <c r="H52" i="16"/>
  <c r="H56" i="16" s="1"/>
  <c r="E31" i="7" s="1"/>
  <c r="H37" i="16"/>
  <c r="H38" i="16"/>
  <c r="H28" i="16"/>
  <c r="H36" i="16"/>
  <c r="H32" i="16"/>
  <c r="H34" i="16"/>
  <c r="H33" i="16"/>
  <c r="A77" i="17"/>
  <c r="A145" i="17"/>
  <c r="A212" i="17" s="1"/>
  <c r="A73" i="17"/>
  <c r="A141" i="17"/>
  <c r="A208" i="17" s="1"/>
  <c r="G268" i="17"/>
  <c r="G205" i="17"/>
  <c r="G265" i="17"/>
  <c r="G267" i="17"/>
  <c r="G243" i="17"/>
  <c r="G266" i="17"/>
  <c r="G214" i="17"/>
  <c r="H124" i="17"/>
  <c r="G219" i="17"/>
  <c r="G152" i="17"/>
  <c r="A167" i="17"/>
  <c r="A234" i="17" s="1"/>
  <c r="A99" i="17"/>
  <c r="A133" i="17"/>
  <c r="A200" i="17" s="1"/>
  <c r="A65" i="17"/>
  <c r="A154" i="17"/>
  <c r="A221" i="17" s="1"/>
  <c r="A86" i="17"/>
  <c r="C28" i="17"/>
  <c r="C81" i="17" s="1"/>
  <c r="C114" i="11"/>
  <c r="B78" i="12"/>
  <c r="B50" i="12"/>
  <c r="B39" i="13" s="1"/>
  <c r="B96" i="13" s="1"/>
  <c r="B148" i="13" s="1"/>
  <c r="B50" i="11"/>
  <c r="B19" i="13" s="1"/>
  <c r="B76" i="13" s="1"/>
  <c r="B128" i="13" s="1"/>
  <c r="B78" i="11"/>
  <c r="C10" i="17"/>
  <c r="C63" i="17" s="1"/>
  <c r="C96" i="11"/>
  <c r="A137" i="17"/>
  <c r="A204" i="17" s="1"/>
  <c r="A69" i="17"/>
  <c r="F273" i="17"/>
  <c r="D32" i="7" s="1"/>
  <c r="A172" i="17"/>
  <c r="A104" i="17"/>
  <c r="A135" i="17"/>
  <c r="A202" i="17" s="1"/>
  <c r="A67" i="17"/>
  <c r="H31" i="16"/>
  <c r="G181" i="18"/>
  <c r="G180" i="18"/>
  <c r="H149" i="18"/>
  <c r="B82" i="12"/>
  <c r="B54" i="12"/>
  <c r="B43" i="13" s="1"/>
  <c r="B100" i="13" s="1"/>
  <c r="B152" i="13" s="1"/>
  <c r="A94" i="17"/>
  <c r="A162" i="17"/>
  <c r="A229" i="17" s="1"/>
  <c r="D40" i="17"/>
  <c r="D93" i="17" s="1"/>
  <c r="D109" i="12"/>
  <c r="A175" i="17"/>
  <c r="A239" i="17" s="1"/>
  <c r="A107" i="17"/>
  <c r="A110" i="17"/>
  <c r="A178" i="17"/>
  <c r="A242" i="17" s="1"/>
  <c r="A100" i="17"/>
  <c r="A168" i="17"/>
  <c r="A235" i="17" s="1"/>
  <c r="C37" i="17"/>
  <c r="C90" i="17" s="1"/>
  <c r="C106" i="12"/>
  <c r="B110" i="11"/>
  <c r="F30" i="11"/>
  <c r="H30" i="11" s="1"/>
  <c r="C9" i="17"/>
  <c r="C62" i="17" s="1"/>
  <c r="F25" i="11"/>
  <c r="H25" i="11" s="1"/>
  <c r="B80" i="11" s="1"/>
  <c r="C80" i="11" s="1"/>
  <c r="D80" i="11" s="1"/>
  <c r="E80" i="11" s="1"/>
  <c r="F80" i="11" s="1"/>
  <c r="G80" i="11" s="1"/>
  <c r="H80" i="11" s="1"/>
  <c r="G254" i="13"/>
  <c r="B111" i="11"/>
  <c r="F31" i="11"/>
  <c r="H31" i="11" s="1"/>
  <c r="C41" i="17"/>
  <c r="C94" i="17" s="1"/>
  <c r="C110" i="12"/>
  <c r="D161" i="17"/>
  <c r="D228" i="17"/>
  <c r="G23" i="4"/>
  <c r="D35" i="7" s="1"/>
  <c r="B72" i="11"/>
  <c r="B44" i="11"/>
  <c r="B13" i="13" s="1"/>
  <c r="B70" i="13" s="1"/>
  <c r="B122" i="13" s="1"/>
  <c r="F27" i="12"/>
  <c r="H27" i="12" s="1"/>
  <c r="B114" i="12"/>
  <c r="E30" i="17"/>
  <c r="E83" i="17" s="1"/>
  <c r="E116" i="11"/>
  <c r="A75" i="17"/>
  <c r="A143" i="17"/>
  <c r="A210" i="17" s="1"/>
  <c r="B80" i="12"/>
  <c r="B52" i="12"/>
  <c r="B41" i="13" s="1"/>
  <c r="B98" i="13" s="1"/>
  <c r="B150" i="13" s="1"/>
  <c r="C67" i="12"/>
  <c r="C56" i="13" s="1"/>
  <c r="C113" i="13" s="1"/>
  <c r="C165" i="13" s="1"/>
  <c r="A131" i="17"/>
  <c r="A198" i="17" s="1"/>
  <c r="A63" i="17"/>
  <c r="D63" i="4" l="1"/>
  <c r="E63" i="4" s="1"/>
  <c r="F63" i="4" s="1"/>
  <c r="G63" i="4" s="1"/>
  <c r="H63" i="4" s="1"/>
  <c r="I63" i="4" s="1"/>
  <c r="C58" i="4"/>
  <c r="D55" i="4" s="1"/>
  <c r="D58" i="4" s="1"/>
  <c r="E55" i="4" s="1"/>
  <c r="E58" i="4" s="1"/>
  <c r="F55" i="4" s="1"/>
  <c r="F58" i="4" s="1"/>
  <c r="G55" i="4" s="1"/>
  <c r="G58" i="4" s="1"/>
  <c r="H55" i="4" s="1"/>
  <c r="H58" i="4" s="1"/>
  <c r="I55" i="4" s="1"/>
  <c r="I58" i="4" s="1"/>
  <c r="D64" i="4"/>
  <c r="E61" i="4" s="1"/>
  <c r="E64" i="4" s="1"/>
  <c r="F61" i="4" s="1"/>
  <c r="F64" i="4" s="1"/>
  <c r="G61" i="4" s="1"/>
  <c r="G64" i="4" s="1"/>
  <c r="H61" i="4" s="1"/>
  <c r="H64" i="4" s="1"/>
  <c r="I61" i="4" s="1"/>
  <c r="I64" i="4" s="1"/>
  <c r="E21" i="7"/>
  <c r="H48" i="6"/>
  <c r="H172" i="14"/>
  <c r="H177" i="14" s="1"/>
  <c r="F29" i="7" s="1"/>
  <c r="G273" i="17"/>
  <c r="E32" i="7" s="1"/>
  <c r="B92" i="13"/>
  <c r="B144" i="13" s="1"/>
  <c r="Q11" i="6"/>
  <c r="P16" i="6"/>
  <c r="C13" i="14"/>
  <c r="C36" i="14" s="1"/>
  <c r="D71" i="11"/>
  <c r="D73" i="11"/>
  <c r="D76" i="11"/>
  <c r="E76" i="11" s="1"/>
  <c r="D67" i="11"/>
  <c r="C74" i="11"/>
  <c r="D74" i="11" s="1"/>
  <c r="B17" i="14"/>
  <c r="B40" i="14" s="1"/>
  <c r="C75" i="11"/>
  <c r="D75" i="11" s="1"/>
  <c r="B18" i="14"/>
  <c r="B41" i="14" s="1"/>
  <c r="C77" i="11"/>
  <c r="D77" i="11" s="1"/>
  <c r="B20" i="14"/>
  <c r="B43" i="14" s="1"/>
  <c r="B14" i="14"/>
  <c r="B37" i="14" s="1"/>
  <c r="C78" i="11"/>
  <c r="D78" i="11" s="1"/>
  <c r="B21" i="14"/>
  <c r="B44" i="14" s="1"/>
  <c r="C72" i="11"/>
  <c r="D72" i="11" s="1"/>
  <c r="B15" i="14"/>
  <c r="B38" i="14" s="1"/>
  <c r="C61" i="11"/>
  <c r="C30" i="13" s="1"/>
  <c r="C87" i="13" s="1"/>
  <c r="C139" i="13" s="1"/>
  <c r="B30" i="13"/>
  <c r="B87" i="13" s="1"/>
  <c r="B139" i="13" s="1"/>
  <c r="D197" i="13" s="1"/>
  <c r="C16" i="14"/>
  <c r="H199" i="13"/>
  <c r="D57" i="4"/>
  <c r="E57" i="4" s="1"/>
  <c r="F57" i="4" s="1"/>
  <c r="G57" i="4" s="1"/>
  <c r="H57" i="4" s="1"/>
  <c r="I57" i="4" s="1"/>
  <c r="C115" i="11"/>
  <c r="D115" i="11" s="1"/>
  <c r="D107" i="12"/>
  <c r="D38" i="17"/>
  <c r="D91" i="17" s="1"/>
  <c r="D197" i="17"/>
  <c r="C79" i="12"/>
  <c r="B18" i="18"/>
  <c r="B49" i="18" s="1"/>
  <c r="D159" i="17"/>
  <c r="D226" i="17"/>
  <c r="C51" i="12"/>
  <c r="C40" i="13" s="1"/>
  <c r="C97" i="13" s="1"/>
  <c r="C149" i="13" s="1"/>
  <c r="D15" i="17"/>
  <c r="D68" i="17" s="1"/>
  <c r="E203" i="17" s="1"/>
  <c r="B59" i="11"/>
  <c r="B28" i="13" s="1"/>
  <c r="B85" i="13" s="1"/>
  <c r="B137" i="13" s="1"/>
  <c r="N16" i="11"/>
  <c r="L16" i="11"/>
  <c r="K16" i="11"/>
  <c r="J16" i="11"/>
  <c r="M16" i="11"/>
  <c r="F35" i="6"/>
  <c r="E35" i="6"/>
  <c r="H44" i="4"/>
  <c r="C51" i="4"/>
  <c r="D51" i="4" s="1"/>
  <c r="I44" i="4"/>
  <c r="C44" i="4"/>
  <c r="C45" i="4" s="1"/>
  <c r="D44" i="4"/>
  <c r="E44" i="4"/>
  <c r="K43" i="4"/>
  <c r="K44" i="4" s="1"/>
  <c r="K45" i="4" s="1"/>
  <c r="F44" i="4"/>
  <c r="D146" i="10"/>
  <c r="D23" i="9"/>
  <c r="D176" i="10"/>
  <c r="D161" i="10"/>
  <c r="H39" i="16"/>
  <c r="E11" i="7" s="1"/>
  <c r="C42" i="14"/>
  <c r="D48" i="11"/>
  <c r="D17" i="13" s="1"/>
  <c r="D74" i="13" s="1"/>
  <c r="D126" i="13" s="1"/>
  <c r="D239" i="13"/>
  <c r="D184" i="13"/>
  <c r="D36" i="7"/>
  <c r="E23" i="9" s="1"/>
  <c r="K58" i="4"/>
  <c r="L55" i="4" s="1"/>
  <c r="L56" i="4" s="1"/>
  <c r="L57" i="4" s="1"/>
  <c r="K64" i="4"/>
  <c r="L61" i="4" s="1"/>
  <c r="L62" i="4" s="1"/>
  <c r="L63" i="4" s="1"/>
  <c r="D149" i="17"/>
  <c r="D216" i="17"/>
  <c r="D204" i="17"/>
  <c r="D137" i="17"/>
  <c r="B61" i="12"/>
  <c r="B50" i="13" s="1"/>
  <c r="B107" i="13" s="1"/>
  <c r="B159" i="13" s="1"/>
  <c r="B89" i="12"/>
  <c r="F57" i="16"/>
  <c r="F59" i="16" s="1"/>
  <c r="F48" i="6"/>
  <c r="C21" i="7"/>
  <c r="D12" i="17"/>
  <c r="D65" i="17" s="1"/>
  <c r="D98" i="11"/>
  <c r="C43" i="17"/>
  <c r="C96" i="17" s="1"/>
  <c r="C112" i="12"/>
  <c r="D170" i="10"/>
  <c r="D125" i="10"/>
  <c r="D35" i="10"/>
  <c r="D140" i="10"/>
  <c r="D155" i="10"/>
  <c r="C48" i="12"/>
  <c r="C37" i="13" s="1"/>
  <c r="C94" i="13" s="1"/>
  <c r="C146" i="13" s="1"/>
  <c r="D11" i="17"/>
  <c r="D64" i="17" s="1"/>
  <c r="D97" i="11"/>
  <c r="C49" i="11"/>
  <c r="C18" i="13" s="1"/>
  <c r="C75" i="13" s="1"/>
  <c r="C127" i="13" s="1"/>
  <c r="C48" i="17"/>
  <c r="C101" i="17" s="1"/>
  <c r="C117" i="12"/>
  <c r="D13" i="17"/>
  <c r="D66" i="17" s="1"/>
  <c r="D99" i="11"/>
  <c r="D200" i="17"/>
  <c r="D133" i="17"/>
  <c r="B15" i="18"/>
  <c r="B46" i="18" s="1"/>
  <c r="C76" i="12"/>
  <c r="D199" i="17"/>
  <c r="D132" i="17"/>
  <c r="D201" i="17"/>
  <c r="D134" i="17"/>
  <c r="H255" i="13"/>
  <c r="H294" i="13"/>
  <c r="H301" i="13" s="1"/>
  <c r="F28" i="7" s="1"/>
  <c r="H279" i="13"/>
  <c r="I172" i="13"/>
  <c r="I295" i="13" s="1"/>
  <c r="H280" i="13"/>
  <c r="H254" i="13"/>
  <c r="H222" i="13"/>
  <c r="H221" i="13"/>
  <c r="H223" i="13"/>
  <c r="C49" i="17"/>
  <c r="C102" i="17" s="1"/>
  <c r="C118" i="12"/>
  <c r="G185" i="18"/>
  <c r="E33" i="7" s="1"/>
  <c r="C47" i="17"/>
  <c r="C100" i="17" s="1"/>
  <c r="C116" i="12"/>
  <c r="D33" i="17"/>
  <c r="D86" i="17" s="1"/>
  <c r="D102" i="12"/>
  <c r="E57" i="16"/>
  <c r="E59" i="16" s="1"/>
  <c r="E48" i="6"/>
  <c r="B21" i="7"/>
  <c r="L49" i="4"/>
  <c r="B14" i="18"/>
  <c r="B45" i="18" s="1"/>
  <c r="C75" i="12"/>
  <c r="B90" i="12"/>
  <c r="B62" i="12"/>
  <c r="B51" i="13" s="1"/>
  <c r="B108" i="13" s="1"/>
  <c r="B160" i="13" s="1"/>
  <c r="C34" i="18"/>
  <c r="C62" i="18" s="1"/>
  <c r="D95" i="12"/>
  <c r="D37" i="17"/>
  <c r="D90" i="17" s="1"/>
  <c r="D106" i="12"/>
  <c r="B30" i="14"/>
  <c r="B53" i="14" s="1"/>
  <c r="C87" i="11"/>
  <c r="B88" i="12"/>
  <c r="B60" i="12"/>
  <c r="B49" i="13" s="1"/>
  <c r="B106" i="13" s="1"/>
  <c r="B158" i="13" s="1"/>
  <c r="G57" i="16"/>
  <c r="G59" i="16" s="1"/>
  <c r="D21" i="7"/>
  <c r="G48" i="6"/>
  <c r="D154" i="17"/>
  <c r="D221" i="17"/>
  <c r="C47" i="12"/>
  <c r="C36" i="13" s="1"/>
  <c r="C93" i="13" s="1"/>
  <c r="C145" i="13" s="1"/>
  <c r="C60" i="11"/>
  <c r="C29" i="13" s="1"/>
  <c r="C86" i="13" s="1"/>
  <c r="C138" i="13" s="1"/>
  <c r="D164" i="18"/>
  <c r="B125" i="18"/>
  <c r="B142" i="18" s="1"/>
  <c r="D155" i="18" s="1"/>
  <c r="D163" i="18"/>
  <c r="B126" i="18"/>
  <c r="B143" i="18" s="1"/>
  <c r="D156" i="18" s="1"/>
  <c r="D167" i="18"/>
  <c r="B124" i="18"/>
  <c r="B141" i="18" s="1"/>
  <c r="F30" i="17"/>
  <c r="F83" i="17" s="1"/>
  <c r="F116" i="11"/>
  <c r="I33" i="16"/>
  <c r="J23" i="16"/>
  <c r="I35" i="16"/>
  <c r="I52" i="16"/>
  <c r="I56" i="16" s="1"/>
  <c r="F31" i="7" s="1"/>
  <c r="I37" i="16"/>
  <c r="I36" i="16"/>
  <c r="I38" i="16"/>
  <c r="I28" i="16"/>
  <c r="I32" i="16"/>
  <c r="I34" i="16"/>
  <c r="I31" i="16"/>
  <c r="I43" i="16"/>
  <c r="I29" i="16"/>
  <c r="I44" i="16"/>
  <c r="I30" i="16"/>
  <c r="C23" i="17"/>
  <c r="C76" i="17" s="1"/>
  <c r="C109" i="11"/>
  <c r="C47" i="11"/>
  <c r="C16" i="13" s="1"/>
  <c r="C73" i="13" s="1"/>
  <c r="C125" i="13" s="1"/>
  <c r="D36" i="17"/>
  <c r="D89" i="17" s="1"/>
  <c r="D105" i="12"/>
  <c r="C46" i="11"/>
  <c r="C15" i="13" s="1"/>
  <c r="C72" i="13" s="1"/>
  <c r="C124" i="13" s="1"/>
  <c r="K51" i="4"/>
  <c r="B92" i="12"/>
  <c r="B64" i="12"/>
  <c r="C64" i="12" s="1"/>
  <c r="D64" i="12" s="1"/>
  <c r="E64" i="12" s="1"/>
  <c r="F64" i="12" s="1"/>
  <c r="G64" i="12" s="1"/>
  <c r="H64" i="12" s="1"/>
  <c r="B31" i="14"/>
  <c r="B54" i="14" s="1"/>
  <c r="C88" i="11"/>
  <c r="D39" i="17"/>
  <c r="D92" i="17" s="1"/>
  <c r="D108" i="12"/>
  <c r="H181" i="18"/>
  <c r="I149" i="18"/>
  <c r="H180" i="18"/>
  <c r="B58" i="11"/>
  <c r="B27" i="13" s="1"/>
  <c r="B84" i="13" s="1"/>
  <c r="B136" i="13" s="1"/>
  <c r="B86" i="11"/>
  <c r="B84" i="11"/>
  <c r="B56" i="11"/>
  <c r="B25" i="13" s="1"/>
  <c r="B82" i="13" s="1"/>
  <c r="B134" i="13" s="1"/>
  <c r="D157" i="17"/>
  <c r="D224" i="17"/>
  <c r="C42" i="17"/>
  <c r="C95" i="17" s="1"/>
  <c r="C111" i="12"/>
  <c r="C51" i="17"/>
  <c r="C104" i="17" s="1"/>
  <c r="D172" i="17" s="1"/>
  <c r="C120" i="12"/>
  <c r="D227" i="17"/>
  <c r="D160" i="17"/>
  <c r="D229" i="17"/>
  <c r="D162" i="17"/>
  <c r="C18" i="17"/>
  <c r="C71" i="17" s="1"/>
  <c r="C104" i="11"/>
  <c r="D35" i="17"/>
  <c r="D88" i="17" s="1"/>
  <c r="D104" i="12"/>
  <c r="B55" i="12"/>
  <c r="B44" i="13" s="1"/>
  <c r="B101" i="13" s="1"/>
  <c r="B153" i="13" s="1"/>
  <c r="B83" i="12"/>
  <c r="C62" i="11"/>
  <c r="C31" i="13" s="1"/>
  <c r="C88" i="13" s="1"/>
  <c r="C140" i="13" s="1"/>
  <c r="C52" i="17"/>
  <c r="C105" i="17" s="1"/>
  <c r="D173" i="17" s="1"/>
  <c r="C121" i="12"/>
  <c r="B79" i="11"/>
  <c r="B51" i="11"/>
  <c r="B20" i="13" s="1"/>
  <c r="B77" i="13" s="1"/>
  <c r="B129" i="13" s="1"/>
  <c r="B83" i="11"/>
  <c r="B55" i="11"/>
  <c r="B24" i="13" s="1"/>
  <c r="B81" i="13" s="1"/>
  <c r="B133" i="13" s="1"/>
  <c r="D223" i="17"/>
  <c r="D156" i="17"/>
  <c r="B16" i="18"/>
  <c r="B47" i="18" s="1"/>
  <c r="C77" i="12"/>
  <c r="H27" i="15"/>
  <c r="H37" i="15"/>
  <c r="H43" i="15" s="1"/>
  <c r="F30" i="7" s="1"/>
  <c r="I17" i="15"/>
  <c r="H28" i="15"/>
  <c r="H29" i="15"/>
  <c r="C45" i="11"/>
  <c r="C14" i="13" s="1"/>
  <c r="C71" i="13" s="1"/>
  <c r="C123" i="13" s="1"/>
  <c r="B65" i="12"/>
  <c r="C65" i="12" s="1"/>
  <c r="D65" i="12" s="1"/>
  <c r="E65" i="12" s="1"/>
  <c r="F65" i="12" s="1"/>
  <c r="G65" i="12" s="1"/>
  <c r="H65" i="12" s="1"/>
  <c r="B93" i="12"/>
  <c r="D41" i="17"/>
  <c r="D94" i="17" s="1"/>
  <c r="D110" i="12"/>
  <c r="C45" i="17"/>
  <c r="C98" i="17" s="1"/>
  <c r="C114" i="12"/>
  <c r="B86" i="12"/>
  <c r="B58" i="12"/>
  <c r="B47" i="13" s="1"/>
  <c r="B104" i="13" s="1"/>
  <c r="B156" i="13" s="1"/>
  <c r="B11" i="13"/>
  <c r="B68" i="13" s="1"/>
  <c r="B12" i="13"/>
  <c r="B69" i="13" s="1"/>
  <c r="C43" i="11"/>
  <c r="D14" i="17"/>
  <c r="D67" i="17" s="1"/>
  <c r="D100" i="11"/>
  <c r="C22" i="17"/>
  <c r="C75" i="17" s="1"/>
  <c r="C108" i="11"/>
  <c r="I9" i="4"/>
  <c r="I18" i="4"/>
  <c r="I21" i="4"/>
  <c r="I11" i="4"/>
  <c r="I20" i="4"/>
  <c r="I10" i="4"/>
  <c r="I16" i="4"/>
  <c r="I13" i="4"/>
  <c r="I22" i="4"/>
  <c r="I15" i="4"/>
  <c r="I8" i="4"/>
  <c r="I17" i="4"/>
  <c r="I19" i="4"/>
  <c r="I12" i="4"/>
  <c r="I14" i="4"/>
  <c r="J4" i="4"/>
  <c r="C49" i="12"/>
  <c r="C38" i="13" s="1"/>
  <c r="C95" i="13" s="1"/>
  <c r="C147" i="13" s="1"/>
  <c r="B16" i="14"/>
  <c r="B39" i="14" s="1"/>
  <c r="C69" i="12"/>
  <c r="C58" i="13" s="1"/>
  <c r="C115" i="13" s="1"/>
  <c r="C167" i="13" s="1"/>
  <c r="C50" i="17"/>
  <c r="C103" i="17" s="1"/>
  <c r="C119" i="12"/>
  <c r="C68" i="12"/>
  <c r="C57" i="13" s="1"/>
  <c r="C114" i="13" s="1"/>
  <c r="C166" i="13" s="1"/>
  <c r="C170" i="10"/>
  <c r="C125" i="10"/>
  <c r="C35" i="10"/>
  <c r="C140" i="10"/>
  <c r="C155" i="10"/>
  <c r="C25" i="17"/>
  <c r="C78" i="17" s="1"/>
  <c r="C111" i="11"/>
  <c r="C44" i="11"/>
  <c r="C13" i="13" s="1"/>
  <c r="C70" i="13" s="1"/>
  <c r="C122" i="13" s="1"/>
  <c r="E40" i="17"/>
  <c r="E93" i="17" s="1"/>
  <c r="E109" i="12"/>
  <c r="D202" i="17"/>
  <c r="D135" i="17"/>
  <c r="G34" i="15"/>
  <c r="D34" i="17"/>
  <c r="D87" i="17" s="1"/>
  <c r="D103" i="12"/>
  <c r="B36" i="18"/>
  <c r="B64" i="18" s="1"/>
  <c r="C97" i="12"/>
  <c r="B66" i="12"/>
  <c r="C66" i="12" s="1"/>
  <c r="D66" i="12" s="1"/>
  <c r="E66" i="12" s="1"/>
  <c r="F66" i="12" s="1"/>
  <c r="G66" i="12" s="1"/>
  <c r="H66" i="12" s="1"/>
  <c r="B94" i="12"/>
  <c r="B63" i="12"/>
  <c r="B52" i="13" s="1"/>
  <c r="B109" i="13" s="1"/>
  <c r="B161" i="13" s="1"/>
  <c r="B91" i="12"/>
  <c r="B35" i="18"/>
  <c r="B63" i="18" s="1"/>
  <c r="C96" i="12"/>
  <c r="D158" i="17"/>
  <c r="D225" i="17"/>
  <c r="F218" i="17"/>
  <c r="F151" i="17"/>
  <c r="C19" i="17"/>
  <c r="C72" i="17" s="1"/>
  <c r="C105" i="11"/>
  <c r="E161" i="17"/>
  <c r="E228" i="17"/>
  <c r="H205" i="17"/>
  <c r="H265" i="17"/>
  <c r="H214" i="17"/>
  <c r="H243" i="17"/>
  <c r="H266" i="17"/>
  <c r="I124" i="17"/>
  <c r="H268" i="17"/>
  <c r="H267" i="17"/>
  <c r="H219" i="17"/>
  <c r="H152" i="17"/>
  <c r="E139" i="10"/>
  <c r="E154" i="10"/>
  <c r="E169" i="10"/>
  <c r="E124" i="10"/>
  <c r="E34" i="10"/>
  <c r="C46" i="12"/>
  <c r="C35" i="13" s="1"/>
  <c r="D52" i="4"/>
  <c r="D155" i="17"/>
  <c r="D222" i="17"/>
  <c r="C53" i="17"/>
  <c r="C106" i="17" s="1"/>
  <c r="D174" i="17" s="1"/>
  <c r="C122" i="12"/>
  <c r="C70" i="12"/>
  <c r="C59" i="13" s="1"/>
  <c r="C116" i="13" s="1"/>
  <c r="C168" i="13" s="1"/>
  <c r="D55" i="17"/>
  <c r="D108" i="17" s="1"/>
  <c r="D124" i="12"/>
  <c r="D264" i="13"/>
  <c r="D210" i="13"/>
  <c r="B19" i="18"/>
  <c r="B50" i="18" s="1"/>
  <c r="C80" i="12"/>
  <c r="B59" i="12"/>
  <c r="B48" i="13" s="1"/>
  <c r="B105" i="13" s="1"/>
  <c r="B157" i="13" s="1"/>
  <c r="B87" i="12"/>
  <c r="B44" i="18"/>
  <c r="B54" i="11"/>
  <c r="B23" i="13" s="1"/>
  <c r="B80" i="13" s="1"/>
  <c r="B132" i="13" s="1"/>
  <c r="B82" i="11"/>
  <c r="E15" i="17"/>
  <c r="E68" i="17" s="1"/>
  <c r="E101" i="11"/>
  <c r="B37" i="18"/>
  <c r="B65" i="18" s="1"/>
  <c r="C98" i="12"/>
  <c r="D240" i="17"/>
  <c r="D176" i="17"/>
  <c r="D53" i="12"/>
  <c r="D42" i="13" s="1"/>
  <c r="D99" i="13" s="1"/>
  <c r="D151" i="13" s="1"/>
  <c r="B52" i="11"/>
  <c r="D9" i="17"/>
  <c r="D62" i="17" s="1"/>
  <c r="D95" i="11"/>
  <c r="C50" i="12"/>
  <c r="C39" i="13" s="1"/>
  <c r="C96" i="13" s="1"/>
  <c r="C148" i="13" s="1"/>
  <c r="F10" i="15"/>
  <c r="H21" i="15" s="1"/>
  <c r="H23" i="15" s="1"/>
  <c r="G9" i="15"/>
  <c r="H40" i="18"/>
  <c r="H41" i="18" s="1"/>
  <c r="H44" i="18" s="1"/>
  <c r="G41" i="18"/>
  <c r="G44" i="18" s="1"/>
  <c r="C46" i="17"/>
  <c r="C99" i="17" s="1"/>
  <c r="C115" i="12"/>
  <c r="C21" i="17"/>
  <c r="C74" i="17" s="1"/>
  <c r="C107" i="11"/>
  <c r="D57" i="17"/>
  <c r="D110" i="17" s="1"/>
  <c r="D126" i="12"/>
  <c r="D217" i="17"/>
  <c r="D150" i="17"/>
  <c r="C20" i="18"/>
  <c r="C51" i="18" s="1"/>
  <c r="D81" i="12"/>
  <c r="E170" i="10"/>
  <c r="E125" i="10"/>
  <c r="E35" i="10"/>
  <c r="E140" i="10"/>
  <c r="E155" i="10"/>
  <c r="D224" i="13"/>
  <c r="D275" i="13"/>
  <c r="D67" i="12"/>
  <c r="D56" i="13" s="1"/>
  <c r="D113" i="13" s="1"/>
  <c r="D165" i="13" s="1"/>
  <c r="D130" i="17"/>
  <c r="C54" i="12"/>
  <c r="C43" i="13" s="1"/>
  <c r="C100" i="13" s="1"/>
  <c r="C152" i="13" s="1"/>
  <c r="D10" i="17"/>
  <c r="D63" i="17" s="1"/>
  <c r="D96" i="11"/>
  <c r="B17" i="18"/>
  <c r="B48" i="18" s="1"/>
  <c r="C78" i="12"/>
  <c r="E10" i="7"/>
  <c r="H38" i="6"/>
  <c r="D27" i="17"/>
  <c r="D80" i="17" s="1"/>
  <c r="D113" i="11"/>
  <c r="B81" i="11"/>
  <c r="B53" i="11"/>
  <c r="B22" i="13" s="1"/>
  <c r="B79" i="13" s="1"/>
  <c r="B131" i="13" s="1"/>
  <c r="D56" i="17"/>
  <c r="D109" i="17" s="1"/>
  <c r="D125" i="12"/>
  <c r="E54" i="17"/>
  <c r="E107" i="17" s="1"/>
  <c r="E123" i="12"/>
  <c r="D242" i="17"/>
  <c r="D178" i="17"/>
  <c r="C44" i="17"/>
  <c r="C97" i="17" s="1"/>
  <c r="C113" i="12"/>
  <c r="C24" i="17"/>
  <c r="C77" i="17" s="1"/>
  <c r="C110" i="11"/>
  <c r="C50" i="11"/>
  <c r="C19" i="13" s="1"/>
  <c r="C76" i="13" s="1"/>
  <c r="C128" i="13" s="1"/>
  <c r="C52" i="12"/>
  <c r="C41" i="13" s="1"/>
  <c r="C98" i="13" s="1"/>
  <c r="C150" i="13" s="1"/>
  <c r="B85" i="11"/>
  <c r="B57" i="11"/>
  <c r="B26" i="13" s="1"/>
  <c r="B83" i="13" s="1"/>
  <c r="B135" i="13" s="1"/>
  <c r="B21" i="18"/>
  <c r="B52" i="18" s="1"/>
  <c r="C82" i="12"/>
  <c r="D198" i="17"/>
  <c r="D131" i="17"/>
  <c r="D28" i="17"/>
  <c r="D81" i="17" s="1"/>
  <c r="D114" i="11"/>
  <c r="D16" i="17"/>
  <c r="D69" i="17" s="1"/>
  <c r="D102" i="11"/>
  <c r="D215" i="17"/>
  <c r="D148" i="17"/>
  <c r="H23" i="4"/>
  <c r="E35" i="7" s="1"/>
  <c r="C20" i="17"/>
  <c r="C73" i="17" s="1"/>
  <c r="C106" i="11"/>
  <c r="D177" i="17"/>
  <c r="D241" i="17"/>
  <c r="E175" i="17"/>
  <c r="E239" i="17"/>
  <c r="I172" i="14"/>
  <c r="I177" i="14" s="1"/>
  <c r="G29" i="7" s="1"/>
  <c r="J132" i="14"/>
  <c r="J173" i="14" s="1"/>
  <c r="B57" i="12"/>
  <c r="B46" i="13" s="1"/>
  <c r="B103" i="13" s="1"/>
  <c r="B155" i="13" s="1"/>
  <c r="B85" i="12"/>
  <c r="B84" i="12"/>
  <c r="B56" i="12"/>
  <c r="B45" i="13" s="1"/>
  <c r="B102" i="13" s="1"/>
  <c r="B154" i="13" s="1"/>
  <c r="H57" i="16"/>
  <c r="H59" i="16" s="1"/>
  <c r="D154" i="14" l="1"/>
  <c r="C20" i="14"/>
  <c r="B63" i="14"/>
  <c r="R11" i="6"/>
  <c r="R16" i="6" s="1"/>
  <c r="Q16" i="6"/>
  <c r="E36" i="7"/>
  <c r="F131" i="10" s="1"/>
  <c r="C92" i="13"/>
  <c r="C144" i="13" s="1"/>
  <c r="H35" i="6"/>
  <c r="B61" i="13"/>
  <c r="D19" i="14"/>
  <c r="D13" i="14"/>
  <c r="D36" i="14" s="1"/>
  <c r="E71" i="11"/>
  <c r="E73" i="11"/>
  <c r="C18" i="14"/>
  <c r="C41" i="14" s="1"/>
  <c r="D61" i="11"/>
  <c r="D30" i="13" s="1"/>
  <c r="D87" i="13" s="1"/>
  <c r="D139" i="13" s="1"/>
  <c r="E67" i="11"/>
  <c r="C21" i="14"/>
  <c r="C44" i="14" s="1"/>
  <c r="C17" i="14"/>
  <c r="C40" i="14" s="1"/>
  <c r="C15" i="14"/>
  <c r="C38" i="14" s="1"/>
  <c r="C14" i="14"/>
  <c r="C37" i="14" s="1"/>
  <c r="B23" i="14"/>
  <c r="B46" i="14" s="1"/>
  <c r="C79" i="11"/>
  <c r="D79" i="11" s="1"/>
  <c r="B22" i="14"/>
  <c r="D14" i="14"/>
  <c r="E78" i="11"/>
  <c r="D21" i="14"/>
  <c r="E77" i="11"/>
  <c r="D20" i="14"/>
  <c r="E74" i="11"/>
  <c r="D17" i="14"/>
  <c r="F76" i="11"/>
  <c r="E19" i="14"/>
  <c r="D16" i="14"/>
  <c r="E72" i="11"/>
  <c r="D15" i="14"/>
  <c r="E75" i="11"/>
  <c r="D18" i="14"/>
  <c r="D29" i="17"/>
  <c r="D82" i="17" s="1"/>
  <c r="E150" i="17" s="1"/>
  <c r="C59" i="11"/>
  <c r="C28" i="13" s="1"/>
  <c r="C85" i="13" s="1"/>
  <c r="C137" i="13" s="1"/>
  <c r="D252" i="13"/>
  <c r="C114" i="17"/>
  <c r="D182" i="17" s="1"/>
  <c r="C116" i="17"/>
  <c r="E226" i="17"/>
  <c r="E159" i="17"/>
  <c r="D51" i="12"/>
  <c r="D40" i="13" s="1"/>
  <c r="D97" i="13" s="1"/>
  <c r="D149" i="13" s="1"/>
  <c r="D79" i="12"/>
  <c r="C18" i="18"/>
  <c r="C49" i="18" s="1"/>
  <c r="C115" i="17"/>
  <c r="E107" i="12"/>
  <c r="E38" i="17"/>
  <c r="E91" i="17" s="1"/>
  <c r="D208" i="13"/>
  <c r="D262" i="13"/>
  <c r="E136" i="17"/>
  <c r="C46" i="4"/>
  <c r="D43" i="4" s="1"/>
  <c r="D46" i="4" s="1"/>
  <c r="E43" i="4" s="1"/>
  <c r="E46" i="4" s="1"/>
  <c r="F43" i="4" s="1"/>
  <c r="F46" i="4" s="1"/>
  <c r="G43" i="4" s="1"/>
  <c r="G46" i="4" s="1"/>
  <c r="H43" i="4" s="1"/>
  <c r="H46" i="4" s="1"/>
  <c r="I43" i="4" s="1"/>
  <c r="I46" i="4" s="1"/>
  <c r="D45" i="4"/>
  <c r="E45" i="4" s="1"/>
  <c r="F45" i="4" s="1"/>
  <c r="G45" i="4" s="1"/>
  <c r="H45" i="4" s="1"/>
  <c r="I45" i="4" s="1"/>
  <c r="E176" i="10"/>
  <c r="E161" i="10"/>
  <c r="E146" i="10"/>
  <c r="H185" i="18"/>
  <c r="F33" i="7" s="1"/>
  <c r="E131" i="10"/>
  <c r="I49" i="16"/>
  <c r="E48" i="11"/>
  <c r="E17" i="13" s="1"/>
  <c r="E74" i="13" s="1"/>
  <c r="E126" i="13" s="1"/>
  <c r="E239" i="13"/>
  <c r="E184" i="13"/>
  <c r="D42" i="14"/>
  <c r="L64" i="4"/>
  <c r="M61" i="4" s="1"/>
  <c r="M62" i="4" s="1"/>
  <c r="M63" i="4" s="1"/>
  <c r="K46" i="4"/>
  <c r="L43" i="4" s="1"/>
  <c r="L44" i="4" s="1"/>
  <c r="L45" i="4" s="1"/>
  <c r="C21" i="18"/>
  <c r="C52" i="18" s="1"/>
  <c r="D82" i="12"/>
  <c r="E56" i="17"/>
  <c r="E109" i="17" s="1"/>
  <c r="E125" i="12"/>
  <c r="D167" i="17"/>
  <c r="D234" i="17"/>
  <c r="D278" i="13"/>
  <c r="D227" i="13"/>
  <c r="C36" i="18"/>
  <c r="C64" i="18" s="1"/>
  <c r="D97" i="12"/>
  <c r="D44" i="11"/>
  <c r="D13" i="13" s="1"/>
  <c r="D70" i="13" s="1"/>
  <c r="D122" i="13" s="1"/>
  <c r="D69" i="12"/>
  <c r="D58" i="13" s="1"/>
  <c r="D115" i="13" s="1"/>
  <c r="D167" i="13" s="1"/>
  <c r="D166" i="17"/>
  <c r="D233" i="17"/>
  <c r="C55" i="11"/>
  <c r="C24" i="13" s="1"/>
  <c r="C81" i="13" s="1"/>
  <c r="C133" i="13" s="1"/>
  <c r="D139" i="17"/>
  <c r="D206" i="17"/>
  <c r="B29" i="18"/>
  <c r="B60" i="18" s="1"/>
  <c r="C90" i="12"/>
  <c r="D49" i="17"/>
  <c r="D102" i="17" s="1"/>
  <c r="D118" i="12"/>
  <c r="C43" i="14"/>
  <c r="D205" i="13"/>
  <c r="D259" i="13"/>
  <c r="E12" i="17"/>
  <c r="E65" i="17" s="1"/>
  <c r="E98" i="11"/>
  <c r="E177" i="17"/>
  <c r="E241" i="17"/>
  <c r="C118" i="17"/>
  <c r="E29" i="17"/>
  <c r="E82" i="17" s="1"/>
  <c r="E115" i="11"/>
  <c r="F15" i="17"/>
  <c r="F68" i="17" s="1"/>
  <c r="F101" i="11"/>
  <c r="D53" i="17"/>
  <c r="D106" i="17" s="1"/>
  <c r="E174" i="17" s="1"/>
  <c r="D122" i="12"/>
  <c r="D235" i="13"/>
  <c r="D180" i="13"/>
  <c r="C39" i="14"/>
  <c r="E154" i="14" s="1"/>
  <c r="E41" i="17"/>
  <c r="E94" i="17" s="1"/>
  <c r="E110" i="12"/>
  <c r="B26" i="14"/>
  <c r="B49" i="14" s="1"/>
  <c r="C83" i="11"/>
  <c r="B78" i="14"/>
  <c r="B77" i="14"/>
  <c r="I57" i="16"/>
  <c r="F21" i="7"/>
  <c r="I48" i="6"/>
  <c r="C14" i="18"/>
  <c r="D75" i="12"/>
  <c r="D170" i="17"/>
  <c r="D237" i="17"/>
  <c r="D48" i="12"/>
  <c r="D37" i="13" s="1"/>
  <c r="D94" i="13" s="1"/>
  <c r="D146" i="13" s="1"/>
  <c r="E200" i="17"/>
  <c r="E133" i="17"/>
  <c r="D20" i="18"/>
  <c r="D51" i="18" s="1"/>
  <c r="E81" i="12"/>
  <c r="F203" i="17"/>
  <c r="F136" i="17"/>
  <c r="D19" i="17"/>
  <c r="D72" i="17" s="1"/>
  <c r="D105" i="11"/>
  <c r="D25" i="17"/>
  <c r="D78" i="17" s="1"/>
  <c r="D111" i="11"/>
  <c r="B70" i="14"/>
  <c r="B69" i="14"/>
  <c r="E229" i="17"/>
  <c r="E162" i="17"/>
  <c r="C51" i="11"/>
  <c r="C20" i="13" s="1"/>
  <c r="C77" i="13" s="1"/>
  <c r="C129" i="13" s="1"/>
  <c r="C56" i="11"/>
  <c r="C25" i="13" s="1"/>
  <c r="C82" i="13" s="1"/>
  <c r="C134" i="13" s="1"/>
  <c r="G30" i="17"/>
  <c r="G83" i="17" s="1"/>
  <c r="G116" i="11"/>
  <c r="B28" i="14"/>
  <c r="B51" i="14" s="1"/>
  <c r="C85" i="11"/>
  <c r="B24" i="14"/>
  <c r="B47" i="14" s="1"/>
  <c r="C81" i="11"/>
  <c r="C119" i="17"/>
  <c r="G10" i="15"/>
  <c r="I21" i="15" s="1"/>
  <c r="I23" i="15" s="1"/>
  <c r="H9" i="15"/>
  <c r="H10" i="15" s="1"/>
  <c r="B25" i="14"/>
  <c r="B48" i="14" s="1"/>
  <c r="C82" i="11"/>
  <c r="D207" i="17"/>
  <c r="D140" i="17"/>
  <c r="D213" i="17"/>
  <c r="D146" i="17"/>
  <c r="D260" i="13"/>
  <c r="D206" i="13"/>
  <c r="B32" i="18"/>
  <c r="C93" i="12"/>
  <c r="B27" i="14"/>
  <c r="B50" i="14" s="1"/>
  <c r="C84" i="11"/>
  <c r="B31" i="18"/>
  <c r="C92" i="12"/>
  <c r="G218" i="17"/>
  <c r="G151" i="17"/>
  <c r="L50" i="4"/>
  <c r="L52" i="4" s="1"/>
  <c r="F170" i="10"/>
  <c r="F125" i="10"/>
  <c r="F35" i="10"/>
  <c r="F140" i="10"/>
  <c r="F155" i="10"/>
  <c r="F10" i="7"/>
  <c r="I38" i="6"/>
  <c r="C54" i="11"/>
  <c r="C23" i="13" s="1"/>
  <c r="C80" i="13" s="1"/>
  <c r="C132" i="13" s="1"/>
  <c r="E252" i="13"/>
  <c r="E197" i="13"/>
  <c r="E34" i="17"/>
  <c r="E87" i="17" s="1"/>
  <c r="E103" i="12"/>
  <c r="D49" i="12"/>
  <c r="D38" i="13" s="1"/>
  <c r="D95" i="13" s="1"/>
  <c r="D147" i="13" s="1"/>
  <c r="B29" i="14"/>
  <c r="B52" i="14" s="1"/>
  <c r="C86" i="11"/>
  <c r="C15" i="18"/>
  <c r="C46" i="18" s="1"/>
  <c r="D76" i="12"/>
  <c r="D52" i="12"/>
  <c r="D41" i="13" s="1"/>
  <c r="D98" i="13" s="1"/>
  <c r="D150" i="13" s="1"/>
  <c r="E27" i="17"/>
  <c r="E80" i="17" s="1"/>
  <c r="E113" i="11"/>
  <c r="D50" i="12"/>
  <c r="D39" i="13" s="1"/>
  <c r="D96" i="13" s="1"/>
  <c r="D148" i="13" s="1"/>
  <c r="E155" i="17"/>
  <c r="E222" i="17"/>
  <c r="L58" i="4"/>
  <c r="M55" i="4" s="1"/>
  <c r="J18" i="4"/>
  <c r="J11" i="4"/>
  <c r="K4" i="4"/>
  <c r="J20" i="4"/>
  <c r="J9" i="4"/>
  <c r="J13" i="4"/>
  <c r="J22" i="4"/>
  <c r="J15" i="4"/>
  <c r="J10" i="4"/>
  <c r="J8" i="4"/>
  <c r="J17" i="4"/>
  <c r="J14" i="4"/>
  <c r="J19" i="4"/>
  <c r="J12" i="4"/>
  <c r="J21" i="4"/>
  <c r="J16" i="4"/>
  <c r="D22" i="17"/>
  <c r="D75" i="17" s="1"/>
  <c r="D108" i="11"/>
  <c r="D181" i="13"/>
  <c r="D236" i="13"/>
  <c r="C58" i="11"/>
  <c r="C27" i="13" s="1"/>
  <c r="C84" i="13" s="1"/>
  <c r="C136" i="13" s="1"/>
  <c r="I39" i="16"/>
  <c r="D168" i="18"/>
  <c r="D169" i="18"/>
  <c r="D154" i="18"/>
  <c r="D159" i="18" s="1"/>
  <c r="C60" i="12"/>
  <c r="C49" i="13" s="1"/>
  <c r="C106" i="13" s="1"/>
  <c r="C158" i="13" s="1"/>
  <c r="B28" i="18"/>
  <c r="B59" i="18" s="1"/>
  <c r="C89" i="12"/>
  <c r="D209" i="13"/>
  <c r="D263" i="13"/>
  <c r="D50" i="11"/>
  <c r="D19" i="13" s="1"/>
  <c r="D76" i="13" s="1"/>
  <c r="D128" i="13" s="1"/>
  <c r="E148" i="17"/>
  <c r="E215" i="17"/>
  <c r="E57" i="17"/>
  <c r="E110" i="17" s="1"/>
  <c r="E126" i="12"/>
  <c r="D207" i="13"/>
  <c r="D261" i="13"/>
  <c r="I265" i="17"/>
  <c r="I267" i="17"/>
  <c r="I243" i="17"/>
  <c r="I266" i="17"/>
  <c r="I214" i="17"/>
  <c r="J124" i="17"/>
  <c r="I268" i="17"/>
  <c r="I205" i="17"/>
  <c r="I219" i="17"/>
  <c r="I152" i="17"/>
  <c r="G45" i="15"/>
  <c r="G47" i="15" s="1"/>
  <c r="E20" i="7"/>
  <c r="H51" i="6"/>
  <c r="D143" i="17"/>
  <c r="D210" i="17"/>
  <c r="D45" i="11"/>
  <c r="D14" i="13" s="1"/>
  <c r="D71" i="13" s="1"/>
  <c r="D123" i="13" s="1"/>
  <c r="D51" i="17"/>
  <c r="D104" i="17" s="1"/>
  <c r="E172" i="17" s="1"/>
  <c r="D120" i="12"/>
  <c r="E51" i="4"/>
  <c r="D46" i="11"/>
  <c r="D15" i="13" s="1"/>
  <c r="D72" i="13" s="1"/>
  <c r="D124" i="13" s="1"/>
  <c r="B27" i="18"/>
  <c r="B58" i="18" s="1"/>
  <c r="C88" i="12"/>
  <c r="C61" i="12"/>
  <c r="C50" i="13" s="1"/>
  <c r="C107" i="13" s="1"/>
  <c r="C159" i="13" s="1"/>
  <c r="C57" i="11"/>
  <c r="C26" i="13" s="1"/>
  <c r="C83" i="13" s="1"/>
  <c r="C135" i="13" s="1"/>
  <c r="E67" i="12"/>
  <c r="E56" i="13" s="1"/>
  <c r="E113" i="13" s="1"/>
  <c r="E165" i="13" s="1"/>
  <c r="E242" i="17"/>
  <c r="E178" i="17"/>
  <c r="E9" i="17"/>
  <c r="E62" i="17" s="1"/>
  <c r="E95" i="11"/>
  <c r="B26" i="18"/>
  <c r="B57" i="18" s="1"/>
  <c r="C87" i="12"/>
  <c r="E14" i="17"/>
  <c r="E67" i="17" s="1"/>
  <c r="E100" i="11"/>
  <c r="D52" i="17"/>
  <c r="D105" i="17" s="1"/>
  <c r="E173" i="17" s="1"/>
  <c r="D121" i="12"/>
  <c r="D237" i="13"/>
  <c r="D182" i="13"/>
  <c r="C30" i="14"/>
  <c r="C53" i="14" s="1"/>
  <c r="D87" i="11"/>
  <c r="C53" i="11"/>
  <c r="C22" i="13" s="1"/>
  <c r="C79" i="13" s="1"/>
  <c r="C131" i="13" s="1"/>
  <c r="B24" i="18"/>
  <c r="B55" i="18" s="1"/>
  <c r="C85" i="12"/>
  <c r="F154" i="10"/>
  <c r="F169" i="10"/>
  <c r="F124" i="10"/>
  <c r="F139" i="10"/>
  <c r="F34" i="10"/>
  <c r="E197" i="17"/>
  <c r="E130" i="17"/>
  <c r="C59" i="12"/>
  <c r="C48" i="13" s="1"/>
  <c r="C105" i="13" s="1"/>
  <c r="C157" i="13" s="1"/>
  <c r="E49" i="4"/>
  <c r="E135" i="17"/>
  <c r="E202" i="17"/>
  <c r="D42" i="17"/>
  <c r="D95" i="17" s="1"/>
  <c r="D111" i="12"/>
  <c r="E36" i="17"/>
  <c r="E89" i="17" s="1"/>
  <c r="E105" i="12"/>
  <c r="E33" i="17"/>
  <c r="E86" i="17" s="1"/>
  <c r="E102" i="12"/>
  <c r="I294" i="13"/>
  <c r="I301" i="13" s="1"/>
  <c r="G28" i="7" s="1"/>
  <c r="I279" i="13"/>
  <c r="J172" i="13"/>
  <c r="J295" i="13" s="1"/>
  <c r="I280" i="13"/>
  <c r="I255" i="13"/>
  <c r="I223" i="13"/>
  <c r="I221" i="13"/>
  <c r="I222" i="13"/>
  <c r="I254" i="13"/>
  <c r="I199" i="13"/>
  <c r="E13" i="17"/>
  <c r="E66" i="17" s="1"/>
  <c r="E99" i="11"/>
  <c r="D24" i="17"/>
  <c r="D77" i="17" s="1"/>
  <c r="D110" i="11"/>
  <c r="E224" i="13"/>
  <c r="E275" i="13"/>
  <c r="C57" i="12"/>
  <c r="C46" i="13" s="1"/>
  <c r="C103" i="13" s="1"/>
  <c r="C155" i="13" s="1"/>
  <c r="E204" i="17"/>
  <c r="E137" i="17"/>
  <c r="D212" i="17"/>
  <c r="D145" i="17"/>
  <c r="C19" i="18"/>
  <c r="C50" i="18" s="1"/>
  <c r="D80" i="12"/>
  <c r="D46" i="12"/>
  <c r="D35" i="13" s="1"/>
  <c r="C12" i="13"/>
  <c r="C69" i="13" s="1"/>
  <c r="D43" i="11"/>
  <c r="I27" i="15"/>
  <c r="I37" i="15"/>
  <c r="I43" i="15" s="1"/>
  <c r="G30" i="7" s="1"/>
  <c r="J17" i="15"/>
  <c r="I28" i="15"/>
  <c r="I29" i="15"/>
  <c r="D62" i="11"/>
  <c r="D31" i="13" s="1"/>
  <c r="D88" i="13" s="1"/>
  <c r="D140" i="13" s="1"/>
  <c r="D163" i="17"/>
  <c r="D230" i="17"/>
  <c r="I181" i="18"/>
  <c r="J149" i="18"/>
  <c r="I180" i="18"/>
  <c r="E157" i="17"/>
  <c r="E224" i="17"/>
  <c r="E154" i="17"/>
  <c r="E221" i="17"/>
  <c r="E201" i="17"/>
  <c r="E134" i="17"/>
  <c r="C35" i="18"/>
  <c r="C63" i="18" s="1"/>
  <c r="D96" i="12"/>
  <c r="I23" i="4"/>
  <c r="F35" i="7" s="1"/>
  <c r="D234" i="13"/>
  <c r="B121" i="13"/>
  <c r="D253" i="13"/>
  <c r="D198" i="13"/>
  <c r="D238" i="13"/>
  <c r="D183" i="13"/>
  <c r="D47" i="17"/>
  <c r="D100" i="17" s="1"/>
  <c r="D116" i="12"/>
  <c r="D48" i="17"/>
  <c r="D101" i="17" s="1"/>
  <c r="D117" i="12"/>
  <c r="D20" i="17"/>
  <c r="D73" i="17" s="1"/>
  <c r="D106" i="11"/>
  <c r="B23" i="18"/>
  <c r="B54" i="18" s="1"/>
  <c r="C84" i="12"/>
  <c r="E16" i="17"/>
  <c r="E69" i="17" s="1"/>
  <c r="E102" i="11"/>
  <c r="C17" i="18"/>
  <c r="C48" i="18" s="1"/>
  <c r="D78" i="12"/>
  <c r="D165" i="17"/>
  <c r="D232" i="17"/>
  <c r="E53" i="12"/>
  <c r="E42" i="13" s="1"/>
  <c r="E99" i="13" s="1"/>
  <c r="E151" i="13" s="1"/>
  <c r="D68" i="12"/>
  <c r="D57" i="13" s="1"/>
  <c r="D114" i="13" s="1"/>
  <c r="D166" i="13" s="1"/>
  <c r="C11" i="13"/>
  <c r="H34" i="15"/>
  <c r="B22" i="18"/>
  <c r="B53" i="18" s="1"/>
  <c r="C83" i="12"/>
  <c r="D47" i="11"/>
  <c r="D16" i="13" s="1"/>
  <c r="D73" i="13" s="1"/>
  <c r="D125" i="13" s="1"/>
  <c r="K23" i="16"/>
  <c r="J35" i="16"/>
  <c r="J52" i="16"/>
  <c r="J56" i="16" s="1"/>
  <c r="G31" i="7" s="1"/>
  <c r="J33" i="16"/>
  <c r="J37" i="16"/>
  <c r="J36" i="16"/>
  <c r="J28" i="16"/>
  <c r="J32" i="16"/>
  <c r="J38" i="16"/>
  <c r="J34" i="16"/>
  <c r="J31" i="16"/>
  <c r="J29" i="16"/>
  <c r="J43" i="16"/>
  <c r="J44" i="16"/>
  <c r="J30" i="16"/>
  <c r="D60" i="11"/>
  <c r="D29" i="13" s="1"/>
  <c r="D86" i="13" s="1"/>
  <c r="D138" i="13" s="1"/>
  <c r="E37" i="17"/>
  <c r="E90" i="17" s="1"/>
  <c r="E106" i="12"/>
  <c r="D235" i="17"/>
  <c r="D168" i="17"/>
  <c r="D169" i="17"/>
  <c r="D236" i="17"/>
  <c r="C56" i="12"/>
  <c r="C45" i="13" s="1"/>
  <c r="C102" i="13" s="1"/>
  <c r="C154" i="13" s="1"/>
  <c r="E149" i="17"/>
  <c r="E216" i="17"/>
  <c r="E10" i="17"/>
  <c r="E63" i="17" s="1"/>
  <c r="E96" i="11"/>
  <c r="D21" i="17"/>
  <c r="D74" i="17" s="1"/>
  <c r="D107" i="11"/>
  <c r="E264" i="13"/>
  <c r="E210" i="13"/>
  <c r="H273" i="17"/>
  <c r="F32" i="7" s="1"/>
  <c r="B30" i="18"/>
  <c r="B61" i="18" s="1"/>
  <c r="C91" i="12"/>
  <c r="F40" i="17"/>
  <c r="F93" i="17" s="1"/>
  <c r="F109" i="12"/>
  <c r="D276" i="13"/>
  <c r="D225" i="13"/>
  <c r="C16" i="18"/>
  <c r="C47" i="18" s="1"/>
  <c r="D77" i="12"/>
  <c r="C55" i="12"/>
  <c r="C44" i="13" s="1"/>
  <c r="C101" i="13" s="1"/>
  <c r="C153" i="13" s="1"/>
  <c r="D23" i="17"/>
  <c r="D76" i="17" s="1"/>
  <c r="D109" i="11"/>
  <c r="D251" i="13"/>
  <c r="D196" i="13"/>
  <c r="E225" i="17"/>
  <c r="E158" i="17"/>
  <c r="D250" i="13"/>
  <c r="D195" i="13"/>
  <c r="D240" i="13"/>
  <c r="D185" i="13"/>
  <c r="D43" i="17"/>
  <c r="D96" i="17" s="1"/>
  <c r="D112" i="12"/>
  <c r="D208" i="17"/>
  <c r="D141" i="17"/>
  <c r="D241" i="13"/>
  <c r="D186" i="13"/>
  <c r="J172" i="14"/>
  <c r="J177" i="14" s="1"/>
  <c r="H29" i="7" s="1"/>
  <c r="B21" i="13"/>
  <c r="C52" i="11"/>
  <c r="E198" i="17"/>
  <c r="E131" i="17"/>
  <c r="D209" i="17"/>
  <c r="D142" i="17"/>
  <c r="E55" i="17"/>
  <c r="E108" i="17" s="1"/>
  <c r="E124" i="12"/>
  <c r="C63" i="12"/>
  <c r="C52" i="13" s="1"/>
  <c r="C109" i="13" s="1"/>
  <c r="C161" i="13" s="1"/>
  <c r="F228" i="17"/>
  <c r="F161" i="17"/>
  <c r="D50" i="17"/>
  <c r="D103" i="17" s="1"/>
  <c r="D119" i="12"/>
  <c r="C58" i="12"/>
  <c r="C47" i="13" s="1"/>
  <c r="C104" i="13" s="1"/>
  <c r="C156" i="13" s="1"/>
  <c r="E35" i="17"/>
  <c r="E88" i="17" s="1"/>
  <c r="E104" i="12"/>
  <c r="E39" i="17"/>
  <c r="E92" i="17" s="1"/>
  <c r="E108" i="12"/>
  <c r="D211" i="17"/>
  <c r="D144" i="17"/>
  <c r="D258" i="13"/>
  <c r="D204" i="13"/>
  <c r="D34" i="18"/>
  <c r="D62" i="18" s="1"/>
  <c r="E95" i="12"/>
  <c r="D49" i="11"/>
  <c r="D18" i="13" s="1"/>
  <c r="D75" i="13" s="1"/>
  <c r="D127" i="13" s="1"/>
  <c r="D164" i="17"/>
  <c r="D231" i="17"/>
  <c r="E28" i="17"/>
  <c r="E81" i="17" s="1"/>
  <c r="E114" i="11"/>
  <c r="F54" i="17"/>
  <c r="F107" i="17" s="1"/>
  <c r="F123" i="12"/>
  <c r="D54" i="12"/>
  <c r="D43" i="13" s="1"/>
  <c r="D100" i="13" s="1"/>
  <c r="D152" i="13" s="1"/>
  <c r="E240" i="17"/>
  <c r="E176" i="17"/>
  <c r="B33" i="18"/>
  <c r="C94" i="12"/>
  <c r="D171" i="17"/>
  <c r="D238" i="17"/>
  <c r="B25" i="18"/>
  <c r="B56" i="18" s="1"/>
  <c r="C86" i="12"/>
  <c r="E223" i="17"/>
  <c r="E156" i="17"/>
  <c r="E227" i="17"/>
  <c r="E160" i="17"/>
  <c r="D47" i="12"/>
  <c r="D36" i="13" s="1"/>
  <c r="D93" i="13" s="1"/>
  <c r="D145" i="13" s="1"/>
  <c r="E164" i="18"/>
  <c r="C125" i="18"/>
  <c r="C142" i="18" s="1"/>
  <c r="E155" i="18" s="1"/>
  <c r="E163" i="18"/>
  <c r="C124" i="18"/>
  <c r="C141" i="18" s="1"/>
  <c r="E167" i="18"/>
  <c r="C126" i="18"/>
  <c r="C143" i="18" s="1"/>
  <c r="E156" i="18" s="1"/>
  <c r="E11" i="17"/>
  <c r="E64" i="17" s="1"/>
  <c r="E97" i="11"/>
  <c r="D44" i="17"/>
  <c r="D97" i="17" s="1"/>
  <c r="D113" i="12"/>
  <c r="F239" i="17"/>
  <c r="F175" i="17"/>
  <c r="D211" i="13"/>
  <c r="D265" i="13"/>
  <c r="D46" i="17"/>
  <c r="D99" i="17" s="1"/>
  <c r="D115" i="12"/>
  <c r="C37" i="18"/>
  <c r="C65" i="18" s="1"/>
  <c r="D98" i="12"/>
  <c r="D70" i="12"/>
  <c r="D59" i="13" s="1"/>
  <c r="D116" i="13" s="1"/>
  <c r="D168" i="13" s="1"/>
  <c r="D277" i="13"/>
  <c r="D226" i="13"/>
  <c r="D45" i="17"/>
  <c r="D98" i="17" s="1"/>
  <c r="D114" i="12"/>
  <c r="D18" i="17"/>
  <c r="D71" i="17" s="1"/>
  <c r="D104" i="11"/>
  <c r="C31" i="14"/>
  <c r="C54" i="14" s="1"/>
  <c r="D88" i="11"/>
  <c r="C62" i="12"/>
  <c r="C51" i="13" s="1"/>
  <c r="C108" i="13" s="1"/>
  <c r="C160" i="13" s="1"/>
  <c r="E199" i="17"/>
  <c r="E132" i="17"/>
  <c r="D141" i="14" l="1"/>
  <c r="F176" i="10"/>
  <c r="B32" i="14"/>
  <c r="F161" i="10"/>
  <c r="F23" i="9"/>
  <c r="F146" i="10"/>
  <c r="E61" i="11"/>
  <c r="E30" i="13" s="1"/>
  <c r="E87" i="13" s="1"/>
  <c r="E139" i="13" s="1"/>
  <c r="D92" i="13"/>
  <c r="D144" i="13" s="1"/>
  <c r="C61" i="13"/>
  <c r="E13" i="14"/>
  <c r="E36" i="14" s="1"/>
  <c r="F73" i="11"/>
  <c r="F71" i="11"/>
  <c r="D23" i="14"/>
  <c r="F67" i="11"/>
  <c r="C63" i="14"/>
  <c r="D59" i="11"/>
  <c r="D28" i="13" s="1"/>
  <c r="D85" i="13" s="1"/>
  <c r="D137" i="13" s="1"/>
  <c r="C23" i="14"/>
  <c r="C22" i="14"/>
  <c r="C45" i="14" s="1"/>
  <c r="E217" i="17"/>
  <c r="D153" i="14"/>
  <c r="D122" i="14"/>
  <c r="E14" i="14"/>
  <c r="F75" i="11"/>
  <c r="E18" i="14"/>
  <c r="E16" i="14"/>
  <c r="E39" i="14" s="1"/>
  <c r="E79" i="11"/>
  <c r="D22" i="14"/>
  <c r="F77" i="11"/>
  <c r="E20" i="14"/>
  <c r="F72" i="11"/>
  <c r="E15" i="14"/>
  <c r="G76" i="11"/>
  <c r="F19" i="14"/>
  <c r="F74" i="11"/>
  <c r="E17" i="14"/>
  <c r="F78" i="11"/>
  <c r="E21" i="14"/>
  <c r="D116" i="17"/>
  <c r="D115" i="17"/>
  <c r="D114" i="17"/>
  <c r="I273" i="17"/>
  <c r="G32" i="7" s="1"/>
  <c r="F226" i="17"/>
  <c r="F159" i="17"/>
  <c r="D18" i="18"/>
  <c r="D49" i="18" s="1"/>
  <c r="E79" i="12"/>
  <c r="E208" i="13"/>
  <c r="E262" i="13"/>
  <c r="F38" i="17"/>
  <c r="F91" i="17" s="1"/>
  <c r="F107" i="12"/>
  <c r="E51" i="12"/>
  <c r="E40" i="13" s="1"/>
  <c r="E97" i="13" s="1"/>
  <c r="E149" i="13" s="1"/>
  <c r="D245" i="17"/>
  <c r="B45" i="14"/>
  <c r="D253" i="17"/>
  <c r="B78" i="13"/>
  <c r="D243" i="13" s="1"/>
  <c r="B33" i="13"/>
  <c r="B10" i="13" s="1"/>
  <c r="J49" i="16"/>
  <c r="G21" i="7" s="1"/>
  <c r="D254" i="17"/>
  <c r="E42" i="14"/>
  <c r="F48" i="11"/>
  <c r="F17" i="13" s="1"/>
  <c r="F74" i="13" s="1"/>
  <c r="F126" i="13" s="1"/>
  <c r="F239" i="13"/>
  <c r="F184" i="13"/>
  <c r="J23" i="4"/>
  <c r="G35" i="7" s="1"/>
  <c r="F36" i="7"/>
  <c r="G161" i="10" s="1"/>
  <c r="M64" i="4"/>
  <c r="N61" i="4" s="1"/>
  <c r="N62" i="4" s="1"/>
  <c r="N63" i="4" s="1"/>
  <c r="L51" i="4"/>
  <c r="D62" i="12"/>
  <c r="D51" i="13" s="1"/>
  <c r="D108" i="13" s="1"/>
  <c r="D160" i="13" s="1"/>
  <c r="C25" i="18"/>
  <c r="C56" i="18" s="1"/>
  <c r="D86" i="12"/>
  <c r="F227" i="17"/>
  <c r="F160" i="17"/>
  <c r="E43" i="17"/>
  <c r="E96" i="17" s="1"/>
  <c r="E112" i="12"/>
  <c r="D16" i="18"/>
  <c r="D47" i="18" s="1"/>
  <c r="E77" i="12"/>
  <c r="E68" i="12"/>
  <c r="E57" i="13" s="1"/>
  <c r="E114" i="13" s="1"/>
  <c r="E166" i="13" s="1"/>
  <c r="D17" i="18"/>
  <c r="D48" i="18" s="1"/>
  <c r="E78" i="12"/>
  <c r="J181" i="18"/>
  <c r="J180" i="18"/>
  <c r="D19" i="18"/>
  <c r="D50" i="18" s="1"/>
  <c r="E80" i="12"/>
  <c r="E236" i="13"/>
  <c r="E181" i="13"/>
  <c r="E241" i="13"/>
  <c r="E186" i="13"/>
  <c r="D249" i="13"/>
  <c r="D194" i="13"/>
  <c r="D15" i="18"/>
  <c r="D46" i="18" s="1"/>
  <c r="E76" i="12"/>
  <c r="E19" i="17"/>
  <c r="E72" i="17" s="1"/>
  <c r="E105" i="11"/>
  <c r="D39" i="14"/>
  <c r="F154" i="14" s="1"/>
  <c r="D55" i="11"/>
  <c r="D24" i="13" s="1"/>
  <c r="D81" i="13" s="1"/>
  <c r="D133" i="13" s="1"/>
  <c r="F35" i="17"/>
  <c r="F88" i="17" s="1"/>
  <c r="F104" i="12"/>
  <c r="E164" i="17"/>
  <c r="E231" i="17"/>
  <c r="E276" i="13"/>
  <c r="E225" i="13"/>
  <c r="E24" i="17"/>
  <c r="E77" i="17" s="1"/>
  <c r="E110" i="11"/>
  <c r="F252" i="13"/>
  <c r="F197" i="13"/>
  <c r="E207" i="17"/>
  <c r="E140" i="17"/>
  <c r="C70" i="14"/>
  <c r="C69" i="14"/>
  <c r="F12" i="17"/>
  <c r="F65" i="17" s="1"/>
  <c r="F98" i="11"/>
  <c r="D37" i="18"/>
  <c r="D65" i="18" s="1"/>
  <c r="E98" i="12"/>
  <c r="F223" i="17"/>
  <c r="F156" i="17"/>
  <c r="J39" i="16"/>
  <c r="F16" i="17"/>
  <c r="F69" i="17" s="1"/>
  <c r="F102" i="11"/>
  <c r="E212" i="17"/>
  <c r="E145" i="17"/>
  <c r="F33" i="17"/>
  <c r="F86" i="17" s="1"/>
  <c r="F102" i="12"/>
  <c r="B39" i="18"/>
  <c r="C31" i="18"/>
  <c r="D92" i="12"/>
  <c r="C25" i="14"/>
  <c r="C48" i="14" s="1"/>
  <c r="D82" i="11"/>
  <c r="D14" i="18"/>
  <c r="E75" i="12"/>
  <c r="F200" i="17"/>
  <c r="F133" i="17"/>
  <c r="D246" i="17"/>
  <c r="D183" i="17"/>
  <c r="F11" i="17"/>
  <c r="F64" i="17" s="1"/>
  <c r="F97" i="11"/>
  <c r="E18" i="17"/>
  <c r="E71" i="17" s="1"/>
  <c r="E104" i="11"/>
  <c r="F199" i="17"/>
  <c r="F132" i="17"/>
  <c r="E54" i="12"/>
  <c r="E43" i="13" s="1"/>
  <c r="E100" i="13" s="1"/>
  <c r="E152" i="13" s="1"/>
  <c r="E49" i="11"/>
  <c r="E18" i="13" s="1"/>
  <c r="E75" i="13" s="1"/>
  <c r="E127" i="13" s="1"/>
  <c r="D58" i="12"/>
  <c r="D47" i="13" s="1"/>
  <c r="D104" i="13" s="1"/>
  <c r="D156" i="13" s="1"/>
  <c r="D233" i="13"/>
  <c r="B120" i="13"/>
  <c r="F204" i="17"/>
  <c r="F137" i="17"/>
  <c r="F13" i="17"/>
  <c r="F66" i="17" s="1"/>
  <c r="F99" i="11"/>
  <c r="F154" i="17"/>
  <c r="F221" i="17"/>
  <c r="C24" i="18"/>
  <c r="C55" i="18" s="1"/>
  <c r="D85" i="12"/>
  <c r="E50" i="12"/>
  <c r="E39" i="13" s="1"/>
  <c r="E96" i="13" s="1"/>
  <c r="E148" i="13" s="1"/>
  <c r="C29" i="14"/>
  <c r="C52" i="14" s="1"/>
  <c r="D86" i="11"/>
  <c r="H30" i="17"/>
  <c r="H83" i="17" s="1"/>
  <c r="H116" i="11"/>
  <c r="I30" i="17" s="1"/>
  <c r="I83" i="17" s="1"/>
  <c r="C45" i="18"/>
  <c r="E69" i="12"/>
  <c r="E58" i="13" s="1"/>
  <c r="E115" i="13" s="1"/>
  <c r="E167" i="13" s="1"/>
  <c r="F56" i="17"/>
  <c r="F109" i="17" s="1"/>
  <c r="F125" i="12"/>
  <c r="E139" i="17"/>
  <c r="E206" i="17"/>
  <c r="E185" i="13"/>
  <c r="E240" i="13"/>
  <c r="D215" i="13"/>
  <c r="D269" i="13"/>
  <c r="E21" i="17"/>
  <c r="E74" i="17" s="1"/>
  <c r="E107" i="11"/>
  <c r="C23" i="18"/>
  <c r="C54" i="18" s="1"/>
  <c r="D84" i="12"/>
  <c r="F201" i="17"/>
  <c r="F134" i="17"/>
  <c r="D118" i="17"/>
  <c r="E207" i="13"/>
  <c r="E261" i="13"/>
  <c r="C27" i="14"/>
  <c r="C50" i="14" s="1"/>
  <c r="D84" i="11"/>
  <c r="H218" i="17"/>
  <c r="H151" i="17"/>
  <c r="E53" i="17"/>
  <c r="E106" i="17" s="1"/>
  <c r="F174" i="17" s="1"/>
  <c r="E122" i="12"/>
  <c r="E277" i="13"/>
  <c r="E226" i="13"/>
  <c r="F241" i="17"/>
  <c r="F177" i="17"/>
  <c r="E211" i="13"/>
  <c r="E265" i="13"/>
  <c r="E45" i="17"/>
  <c r="E98" i="17" s="1"/>
  <c r="E114" i="12"/>
  <c r="E167" i="17"/>
  <c r="E234" i="17"/>
  <c r="C57" i="14"/>
  <c r="E140" i="14" s="1"/>
  <c r="G54" i="17"/>
  <c r="G107" i="17" s="1"/>
  <c r="G123" i="12"/>
  <c r="E50" i="17"/>
  <c r="E103" i="17" s="1"/>
  <c r="E119" i="12"/>
  <c r="E209" i="17"/>
  <c r="E142" i="17"/>
  <c r="E62" i="11"/>
  <c r="E31" i="13" s="1"/>
  <c r="E88" i="13" s="1"/>
  <c r="E140" i="13" s="1"/>
  <c r="F36" i="17"/>
  <c r="F89" i="17" s="1"/>
  <c r="F105" i="12"/>
  <c r="D53" i="11"/>
  <c r="D22" i="13" s="1"/>
  <c r="D79" i="13" s="1"/>
  <c r="D131" i="13" s="1"/>
  <c r="D272" i="13"/>
  <c r="D218" i="13"/>
  <c r="C28" i="18"/>
  <c r="C59" i="18" s="1"/>
  <c r="D89" i="12"/>
  <c r="F27" i="17"/>
  <c r="F80" i="17" s="1"/>
  <c r="F113" i="11"/>
  <c r="E49" i="12"/>
  <c r="E38" i="13" s="1"/>
  <c r="E95" i="13" s="1"/>
  <c r="E147" i="13" s="1"/>
  <c r="G154" i="10"/>
  <c r="G169" i="10"/>
  <c r="G124" i="10"/>
  <c r="G139" i="10"/>
  <c r="G34" i="10"/>
  <c r="D56" i="11"/>
  <c r="D25" i="13" s="1"/>
  <c r="D82" i="13" s="1"/>
  <c r="D134" i="13" s="1"/>
  <c r="D43" i="14"/>
  <c r="E44" i="11"/>
  <c r="E13" i="13" s="1"/>
  <c r="E70" i="13" s="1"/>
  <c r="E122" i="13" s="1"/>
  <c r="D21" i="18"/>
  <c r="D52" i="18" s="1"/>
  <c r="E82" i="12"/>
  <c r="E166" i="17"/>
  <c r="E233" i="17"/>
  <c r="G239" i="17"/>
  <c r="G175" i="17"/>
  <c r="E195" i="13"/>
  <c r="E250" i="13"/>
  <c r="E171" i="17"/>
  <c r="E238" i="17"/>
  <c r="G40" i="17"/>
  <c r="G93" i="17" s="1"/>
  <c r="G109" i="12"/>
  <c r="F10" i="17"/>
  <c r="F63" i="17" s="1"/>
  <c r="F96" i="11"/>
  <c r="F37" i="17"/>
  <c r="F90" i="17" s="1"/>
  <c r="F106" i="12"/>
  <c r="E253" i="13"/>
  <c r="E198" i="13"/>
  <c r="F224" i="17"/>
  <c r="F157" i="17"/>
  <c r="D244" i="13"/>
  <c r="D189" i="13"/>
  <c r="F9" i="17"/>
  <c r="F62" i="17" s="1"/>
  <c r="F95" i="11"/>
  <c r="D61" i="12"/>
  <c r="D50" i="13" s="1"/>
  <c r="D107" i="13" s="1"/>
  <c r="D159" i="13" s="1"/>
  <c r="F215" i="17"/>
  <c r="F148" i="17"/>
  <c r="E260" i="13"/>
  <c r="E206" i="13"/>
  <c r="D247" i="13"/>
  <c r="D192" i="13"/>
  <c r="G15" i="17"/>
  <c r="G68" i="17" s="1"/>
  <c r="G101" i="11"/>
  <c r="E235" i="13"/>
  <c r="E180" i="13"/>
  <c r="C33" i="18"/>
  <c r="D94" i="12"/>
  <c r="E34" i="18"/>
  <c r="E62" i="18" s="1"/>
  <c r="F95" i="12"/>
  <c r="G228" i="17"/>
  <c r="G161" i="17"/>
  <c r="F198" i="17"/>
  <c r="F131" i="17"/>
  <c r="F225" i="17"/>
  <c r="F158" i="17"/>
  <c r="E42" i="17"/>
  <c r="E95" i="17" s="1"/>
  <c r="E111" i="12"/>
  <c r="D119" i="17"/>
  <c r="D30" i="14"/>
  <c r="D53" i="14" s="1"/>
  <c r="E87" i="11"/>
  <c r="F197" i="17"/>
  <c r="F130" i="17"/>
  <c r="C27" i="18"/>
  <c r="C58" i="18" s="1"/>
  <c r="D88" i="12"/>
  <c r="D60" i="12"/>
  <c r="D49" i="13" s="1"/>
  <c r="D106" i="13" s="1"/>
  <c r="D158" i="13" s="1"/>
  <c r="E52" i="12"/>
  <c r="E41" i="13" s="1"/>
  <c r="E98" i="13" s="1"/>
  <c r="E150" i="13" s="1"/>
  <c r="F34" i="17"/>
  <c r="F87" i="17" s="1"/>
  <c r="F103" i="12"/>
  <c r="D242" i="13"/>
  <c r="D187" i="13"/>
  <c r="G203" i="17"/>
  <c r="G136" i="17"/>
  <c r="E49" i="17"/>
  <c r="E102" i="17" s="1"/>
  <c r="E118" i="12"/>
  <c r="D36" i="18"/>
  <c r="D64" i="18" s="1"/>
  <c r="E97" i="12"/>
  <c r="D44" i="14"/>
  <c r="F28" i="17"/>
  <c r="F81" i="17" s="1"/>
  <c r="F114" i="11"/>
  <c r="D125" i="18"/>
  <c r="D142" i="18" s="1"/>
  <c r="F155" i="18" s="1"/>
  <c r="D124" i="18"/>
  <c r="D141" i="18" s="1"/>
  <c r="F167" i="18"/>
  <c r="D126" i="18"/>
  <c r="D143" i="18" s="1"/>
  <c r="F156" i="18" s="1"/>
  <c r="F164" i="18"/>
  <c r="F163" i="18"/>
  <c r="C21" i="13"/>
  <c r="C78" i="13" s="1"/>
  <c r="D52" i="11"/>
  <c r="C30" i="18"/>
  <c r="C61" i="18" s="1"/>
  <c r="D91" i="12"/>
  <c r="E251" i="13"/>
  <c r="E196" i="13"/>
  <c r="K37" i="16"/>
  <c r="K35" i="16"/>
  <c r="K52" i="16"/>
  <c r="K56" i="16" s="1"/>
  <c r="H31" i="7" s="1"/>
  <c r="K33" i="16"/>
  <c r="K36" i="16"/>
  <c r="K38" i="16"/>
  <c r="K28" i="16"/>
  <c r="K32" i="16"/>
  <c r="K34" i="16"/>
  <c r="K43" i="16"/>
  <c r="K29" i="16"/>
  <c r="K44" i="16"/>
  <c r="K30" i="16"/>
  <c r="K31" i="16"/>
  <c r="E20" i="17"/>
  <c r="E73" i="17" s="1"/>
  <c r="E106" i="11"/>
  <c r="E163" i="17"/>
  <c r="E230" i="17"/>
  <c r="D217" i="13"/>
  <c r="D271" i="13"/>
  <c r="K11" i="4"/>
  <c r="K20" i="4"/>
  <c r="K13" i="4"/>
  <c r="K9" i="4"/>
  <c r="K22" i="4"/>
  <c r="K15" i="4"/>
  <c r="K8" i="4"/>
  <c r="K17" i="4"/>
  <c r="K10" i="4"/>
  <c r="K19" i="4"/>
  <c r="K12" i="4"/>
  <c r="K21" i="4"/>
  <c r="K18" i="4"/>
  <c r="K14" i="4"/>
  <c r="K16" i="4"/>
  <c r="E209" i="13"/>
  <c r="E263" i="13"/>
  <c r="F222" i="17"/>
  <c r="F155" i="17"/>
  <c r="C32" i="18"/>
  <c r="D93" i="12"/>
  <c r="D51" i="11"/>
  <c r="D20" i="13" s="1"/>
  <c r="D77" i="13" s="1"/>
  <c r="D129" i="13" s="1"/>
  <c r="E170" i="17"/>
  <c r="E237" i="17"/>
  <c r="D274" i="13"/>
  <c r="D220" i="13"/>
  <c r="E60" i="11"/>
  <c r="E29" i="13" s="1"/>
  <c r="E86" i="13" s="1"/>
  <c r="E138" i="13" s="1"/>
  <c r="E47" i="11"/>
  <c r="E16" i="13" s="1"/>
  <c r="E73" i="13" s="1"/>
  <c r="E125" i="13" s="1"/>
  <c r="E208" i="17"/>
  <c r="E141" i="17"/>
  <c r="J27" i="15"/>
  <c r="J37" i="15"/>
  <c r="J43" i="15" s="1"/>
  <c r="H30" i="7" s="1"/>
  <c r="J28" i="15"/>
  <c r="J29" i="15"/>
  <c r="E46" i="11"/>
  <c r="E15" i="13" s="1"/>
  <c r="E72" i="13" s="1"/>
  <c r="E124" i="13" s="1"/>
  <c r="E39" i="6"/>
  <c r="B13" i="7"/>
  <c r="E22" i="17"/>
  <c r="E75" i="17" s="1"/>
  <c r="E108" i="11"/>
  <c r="D38" i="14"/>
  <c r="J21" i="15"/>
  <c r="J23" i="15" s="1"/>
  <c r="E20" i="18"/>
  <c r="E51" i="18" s="1"/>
  <c r="F81" i="12"/>
  <c r="C29" i="18"/>
  <c r="C60" i="18" s="1"/>
  <c r="D90" i="12"/>
  <c r="D247" i="17"/>
  <c r="D184" i="17"/>
  <c r="D63" i="12"/>
  <c r="D52" i="13" s="1"/>
  <c r="D109" i="13" s="1"/>
  <c r="D161" i="13" s="1"/>
  <c r="E23" i="17"/>
  <c r="E76" i="17" s="1"/>
  <c r="E109" i="11"/>
  <c r="D267" i="13"/>
  <c r="D213" i="13"/>
  <c r="E238" i="13"/>
  <c r="E183" i="13"/>
  <c r="E48" i="17"/>
  <c r="E101" i="17" s="1"/>
  <c r="E117" i="12"/>
  <c r="D35" i="18"/>
  <c r="D63" i="18" s="1"/>
  <c r="E96" i="12"/>
  <c r="F224" i="13"/>
  <c r="F275" i="13"/>
  <c r="E237" i="13"/>
  <c r="E182" i="13"/>
  <c r="J265" i="17"/>
  <c r="J267" i="17"/>
  <c r="J243" i="17"/>
  <c r="J266" i="17"/>
  <c r="J214" i="17"/>
  <c r="J205" i="17"/>
  <c r="J268" i="17"/>
  <c r="J152" i="17"/>
  <c r="J219" i="17"/>
  <c r="F57" i="17"/>
  <c r="F110" i="17" s="1"/>
  <c r="F126" i="12"/>
  <c r="E143" i="17"/>
  <c r="E210" i="17"/>
  <c r="G10" i="7"/>
  <c r="J38" i="6"/>
  <c r="F55" i="17"/>
  <c r="F108" i="17" s="1"/>
  <c r="F124" i="12"/>
  <c r="E211" i="17"/>
  <c r="E144" i="17"/>
  <c r="D56" i="12"/>
  <c r="D45" i="13" s="1"/>
  <c r="D102" i="13" s="1"/>
  <c r="D154" i="13" s="1"/>
  <c r="C22" i="18"/>
  <c r="C53" i="18" s="1"/>
  <c r="D83" i="12"/>
  <c r="E169" i="17"/>
  <c r="E236" i="17"/>
  <c r="L46" i="4"/>
  <c r="M43" i="4" s="1"/>
  <c r="I34" i="15"/>
  <c r="E52" i="17"/>
  <c r="E105" i="17" s="1"/>
  <c r="F173" i="17" s="1"/>
  <c r="E121" i="12"/>
  <c r="F67" i="12"/>
  <c r="F56" i="13" s="1"/>
  <c r="F113" i="13" s="1"/>
  <c r="F165" i="13" s="1"/>
  <c r="F51" i="4"/>
  <c r="F242" i="17"/>
  <c r="F178" i="17"/>
  <c r="M56" i="4"/>
  <c r="M57" i="4" s="1"/>
  <c r="D251" i="17"/>
  <c r="D188" i="17"/>
  <c r="D41" i="14"/>
  <c r="E278" i="13"/>
  <c r="E227" i="13"/>
  <c r="F240" i="17"/>
  <c r="F176" i="17"/>
  <c r="D40" i="14"/>
  <c r="J57" i="16"/>
  <c r="F53" i="12"/>
  <c r="F42" i="13" s="1"/>
  <c r="F99" i="13" s="1"/>
  <c r="F151" i="13" s="1"/>
  <c r="E47" i="17"/>
  <c r="E100" i="17" s="1"/>
  <c r="E116" i="12"/>
  <c r="D203" i="13"/>
  <c r="D257" i="13"/>
  <c r="D12" i="13"/>
  <c r="D69" i="13" s="1"/>
  <c r="D37" i="14" s="1"/>
  <c r="E43" i="11"/>
  <c r="E52" i="4"/>
  <c r="I59" i="16"/>
  <c r="F11" i="7"/>
  <c r="I35" i="6"/>
  <c r="C24" i="14"/>
  <c r="C47" i="14" s="1"/>
  <c r="D81" i="11"/>
  <c r="C26" i="14"/>
  <c r="C49" i="14" s="1"/>
  <c r="D83" i="11"/>
  <c r="F29" i="17"/>
  <c r="F82" i="17" s="1"/>
  <c r="F115" i="11"/>
  <c r="C78" i="14"/>
  <c r="C77" i="14"/>
  <c r="E154" i="18"/>
  <c r="E159" i="18" s="1"/>
  <c r="E168" i="18"/>
  <c r="E169" i="18"/>
  <c r="E47" i="12"/>
  <c r="E36" i="13" s="1"/>
  <c r="E93" i="13" s="1"/>
  <c r="E145" i="13" s="1"/>
  <c r="E70" i="12"/>
  <c r="E59" i="13" s="1"/>
  <c r="E116" i="13" s="1"/>
  <c r="E168" i="13" s="1"/>
  <c r="E44" i="17"/>
  <c r="E97" i="17" s="1"/>
  <c r="E113" i="12"/>
  <c r="H45" i="15"/>
  <c r="H47" i="15" s="1"/>
  <c r="F20" i="7"/>
  <c r="I51" i="6"/>
  <c r="F264" i="13"/>
  <c r="F210" i="13"/>
  <c r="E235" i="17"/>
  <c r="E168" i="17"/>
  <c r="E234" i="13"/>
  <c r="C121" i="13"/>
  <c r="E179" i="13" s="1"/>
  <c r="D268" i="13"/>
  <c r="D214" i="13"/>
  <c r="J294" i="13"/>
  <c r="J301" i="13" s="1"/>
  <c r="H28" i="7" s="1"/>
  <c r="J279" i="13"/>
  <c r="J280" i="13"/>
  <c r="J255" i="13"/>
  <c r="J221" i="13"/>
  <c r="J223" i="13"/>
  <c r="J222" i="13"/>
  <c r="J254" i="13"/>
  <c r="J199" i="13"/>
  <c r="D270" i="13"/>
  <c r="D216" i="13"/>
  <c r="F14" i="17"/>
  <c r="F67" i="17" s="1"/>
  <c r="F100" i="11"/>
  <c r="E51" i="17"/>
  <c r="E104" i="17" s="1"/>
  <c r="F172" i="17" s="1"/>
  <c r="E120" i="12"/>
  <c r="D245" i="13"/>
  <c r="D190" i="13"/>
  <c r="M49" i="4"/>
  <c r="F217" i="17"/>
  <c r="F150" i="17"/>
  <c r="E46" i="17"/>
  <c r="E99" i="17" s="1"/>
  <c r="E115" i="12"/>
  <c r="F149" i="17"/>
  <c r="F216" i="17"/>
  <c r="D266" i="13"/>
  <c r="D212" i="13"/>
  <c r="C68" i="13"/>
  <c r="I185" i="18"/>
  <c r="G33" i="7" s="1"/>
  <c r="E46" i="12"/>
  <c r="E35" i="13" s="1"/>
  <c r="D57" i="12"/>
  <c r="D46" i="13" s="1"/>
  <c r="D103" i="13" s="1"/>
  <c r="D155" i="13" s="1"/>
  <c r="D59" i="12"/>
  <c r="D48" i="13" s="1"/>
  <c r="D105" i="13" s="1"/>
  <c r="D157" i="13" s="1"/>
  <c r="F135" i="17"/>
  <c r="F202" i="17"/>
  <c r="D248" i="13"/>
  <c r="D193" i="13"/>
  <c r="D54" i="11"/>
  <c r="D23" i="13" s="1"/>
  <c r="D80" i="13" s="1"/>
  <c r="D132" i="13" s="1"/>
  <c r="C28" i="14"/>
  <c r="C51" i="14" s="1"/>
  <c r="D85" i="11"/>
  <c r="E25" i="17"/>
  <c r="E78" i="17" s="1"/>
  <c r="E111" i="11"/>
  <c r="E48" i="12"/>
  <c r="E37" i="13" s="1"/>
  <c r="E94" i="13" s="1"/>
  <c r="E146" i="13" s="1"/>
  <c r="F41" i="17"/>
  <c r="F94" i="17" s="1"/>
  <c r="F110" i="12"/>
  <c r="D250" i="17"/>
  <c r="D187" i="17"/>
  <c r="D31" i="14"/>
  <c r="D54" i="14" s="1"/>
  <c r="E88" i="11"/>
  <c r="E258" i="13"/>
  <c r="E204" i="13"/>
  <c r="E165" i="17"/>
  <c r="E232" i="17"/>
  <c r="D273" i="13"/>
  <c r="D219" i="13"/>
  <c r="F39" i="17"/>
  <c r="F92" i="17" s="1"/>
  <c r="F108" i="12"/>
  <c r="D55" i="12"/>
  <c r="D44" i="13" s="1"/>
  <c r="D101" i="13" s="1"/>
  <c r="D153" i="13" s="1"/>
  <c r="D11" i="13"/>
  <c r="C26" i="18"/>
  <c r="C57" i="18" s="1"/>
  <c r="D87" i="12"/>
  <c r="D57" i="11"/>
  <c r="D26" i="13" s="1"/>
  <c r="D83" i="13" s="1"/>
  <c r="D135" i="13" s="1"/>
  <c r="E45" i="11"/>
  <c r="E14" i="13" s="1"/>
  <c r="E71" i="13" s="1"/>
  <c r="E123" i="13" s="1"/>
  <c r="E50" i="11"/>
  <c r="E19" i="13" s="1"/>
  <c r="E76" i="13" s="1"/>
  <c r="E128" i="13" s="1"/>
  <c r="D58" i="11"/>
  <c r="D27" i="13" s="1"/>
  <c r="D84" i="13" s="1"/>
  <c r="D136" i="13" s="1"/>
  <c r="E213" i="17"/>
  <c r="E146" i="17"/>
  <c r="E205" i="13"/>
  <c r="E259" i="13"/>
  <c r="F229" i="17"/>
  <c r="F162" i="17"/>
  <c r="D246" i="13"/>
  <c r="D191" i="13"/>
  <c r="D156" i="14" l="1"/>
  <c r="B12" i="14"/>
  <c r="E59" i="11"/>
  <c r="E28" i="13" s="1"/>
  <c r="E85" i="13" s="1"/>
  <c r="E137" i="13" s="1"/>
  <c r="F61" i="11"/>
  <c r="F30" i="13" s="1"/>
  <c r="F87" i="13" s="1"/>
  <c r="F139" i="13" s="1"/>
  <c r="J273" i="17"/>
  <c r="H32" i="7" s="1"/>
  <c r="E92" i="13"/>
  <c r="E144" i="13" s="1"/>
  <c r="D61" i="13"/>
  <c r="G73" i="11"/>
  <c r="F13" i="14"/>
  <c r="F36" i="14" s="1"/>
  <c r="G71" i="11"/>
  <c r="G67" i="11"/>
  <c r="E152" i="14"/>
  <c r="C62" i="14"/>
  <c r="E139" i="14" s="1"/>
  <c r="C46" i="14"/>
  <c r="D140" i="14"/>
  <c r="E153" i="14"/>
  <c r="F14" i="14"/>
  <c r="E23" i="14"/>
  <c r="G78" i="11"/>
  <c r="F21" i="14"/>
  <c r="H76" i="11"/>
  <c r="H19" i="14" s="1"/>
  <c r="G19" i="14"/>
  <c r="G77" i="11"/>
  <c r="F20" i="14"/>
  <c r="F16" i="14"/>
  <c r="G74" i="11"/>
  <c r="F17" i="14"/>
  <c r="G72" i="11"/>
  <c r="F15" i="14"/>
  <c r="F79" i="11"/>
  <c r="E22" i="14"/>
  <c r="G75" i="11"/>
  <c r="F18" i="14"/>
  <c r="B62" i="14"/>
  <c r="D139" i="14" s="1"/>
  <c r="D152" i="14"/>
  <c r="E115" i="17"/>
  <c r="E114" i="17"/>
  <c r="F51" i="12"/>
  <c r="F40" i="13" s="1"/>
  <c r="F97" i="13" s="1"/>
  <c r="F149" i="13" s="1"/>
  <c r="F262" i="13"/>
  <c r="F208" i="13"/>
  <c r="E116" i="17"/>
  <c r="J48" i="6"/>
  <c r="J185" i="18"/>
  <c r="H33" i="7" s="1"/>
  <c r="G38" i="17"/>
  <c r="G91" i="17" s="1"/>
  <c r="G107" i="12"/>
  <c r="F79" i="12"/>
  <c r="E18" i="18"/>
  <c r="E49" i="18" s="1"/>
  <c r="G226" i="17"/>
  <c r="G159" i="17"/>
  <c r="G36" i="7"/>
  <c r="H161" i="10" s="1"/>
  <c r="B130" i="13"/>
  <c r="G146" i="10"/>
  <c r="K49" i="16"/>
  <c r="K57" i="16" s="1"/>
  <c r="G131" i="10"/>
  <c r="G23" i="9"/>
  <c r="G176" i="10"/>
  <c r="E254" i="17"/>
  <c r="E15" i="6"/>
  <c r="D260" i="17" s="1"/>
  <c r="D262" i="17" s="1"/>
  <c r="G48" i="11"/>
  <c r="G17" i="13" s="1"/>
  <c r="G74" i="13" s="1"/>
  <c r="G126" i="13" s="1"/>
  <c r="G239" i="13"/>
  <c r="G184" i="13"/>
  <c r="F42" i="14"/>
  <c r="D191" i="17"/>
  <c r="E34" i="6" s="1"/>
  <c r="M58" i="4"/>
  <c r="N55" i="4" s="1"/>
  <c r="N56" i="4" s="1"/>
  <c r="N57" i="4" s="1"/>
  <c r="D28" i="14"/>
  <c r="D51" i="14" s="1"/>
  <c r="E85" i="11"/>
  <c r="E233" i="13"/>
  <c r="C120" i="13"/>
  <c r="F232" i="17"/>
  <c r="F165" i="17"/>
  <c r="G53" i="12"/>
  <c r="G42" i="13" s="1"/>
  <c r="G99" i="13" s="1"/>
  <c r="G151" i="13" s="1"/>
  <c r="H154" i="10"/>
  <c r="H169" i="10"/>
  <c r="H124" i="10"/>
  <c r="H139" i="10"/>
  <c r="H34" i="10"/>
  <c r="E63" i="12"/>
  <c r="E52" i="13" s="1"/>
  <c r="E109" i="13" s="1"/>
  <c r="E161" i="13" s="1"/>
  <c r="F143" i="17"/>
  <c r="F210" i="17"/>
  <c r="F47" i="11"/>
  <c r="F16" i="13" s="1"/>
  <c r="F73" i="13" s="1"/>
  <c r="F125" i="13" s="1"/>
  <c r="D30" i="18"/>
  <c r="D61" i="18" s="1"/>
  <c r="E91" i="12"/>
  <c r="F253" i="13"/>
  <c r="F198" i="13"/>
  <c r="F45" i="17"/>
  <c r="F98" i="17" s="1"/>
  <c r="F114" i="12"/>
  <c r="F277" i="13"/>
  <c r="F226" i="13"/>
  <c r="E55" i="11"/>
  <c r="E24" i="13" s="1"/>
  <c r="E81" i="13" s="1"/>
  <c r="E133" i="13" s="1"/>
  <c r="F241" i="13"/>
  <c r="F186" i="13"/>
  <c r="D24" i="14"/>
  <c r="D47" i="14" s="1"/>
  <c r="E81" i="11"/>
  <c r="G264" i="13"/>
  <c r="G210" i="13"/>
  <c r="D22" i="18"/>
  <c r="D53" i="18" s="1"/>
  <c r="E83" i="12"/>
  <c r="E274" i="13"/>
  <c r="E220" i="13"/>
  <c r="C172" i="10"/>
  <c r="C127" i="10"/>
  <c r="C37" i="10"/>
  <c r="C142" i="10"/>
  <c r="C157" i="10"/>
  <c r="F238" i="13"/>
  <c r="F183" i="13"/>
  <c r="F49" i="17"/>
  <c r="F102" i="17" s="1"/>
  <c r="F118" i="12"/>
  <c r="F233" i="17"/>
  <c r="F166" i="17"/>
  <c r="E250" i="17"/>
  <c r="E187" i="17"/>
  <c r="F69" i="12"/>
  <c r="F58" i="13" s="1"/>
  <c r="F115" i="13" s="1"/>
  <c r="F167" i="13" s="1"/>
  <c r="G11" i="17"/>
  <c r="G64" i="17" s="1"/>
  <c r="G97" i="11"/>
  <c r="E191" i="13"/>
  <c r="E246" i="13"/>
  <c r="E19" i="18"/>
  <c r="E50" i="18" s="1"/>
  <c r="F80" i="12"/>
  <c r="D25" i="18"/>
  <c r="D56" i="18" s="1"/>
  <c r="E86" i="12"/>
  <c r="F45" i="11"/>
  <c r="F14" i="13" s="1"/>
  <c r="F71" i="13" s="1"/>
  <c r="F123" i="13" s="1"/>
  <c r="E54" i="11"/>
  <c r="E23" i="13" s="1"/>
  <c r="E80" i="13" s="1"/>
  <c r="E132" i="13" s="1"/>
  <c r="F278" i="13"/>
  <c r="F227" i="13"/>
  <c r="F60" i="11"/>
  <c r="F29" i="13" s="1"/>
  <c r="F86" i="13" s="1"/>
  <c r="F138" i="13" s="1"/>
  <c r="D21" i="13"/>
  <c r="D78" i="13" s="1"/>
  <c r="D46" i="14" s="1"/>
  <c r="E52" i="11"/>
  <c r="F237" i="17"/>
  <c r="F170" i="17"/>
  <c r="E119" i="17"/>
  <c r="D45" i="14"/>
  <c r="F49" i="12"/>
  <c r="F38" i="13" s="1"/>
  <c r="F95" i="13" s="1"/>
  <c r="F147" i="13" s="1"/>
  <c r="E253" i="17"/>
  <c r="C39" i="18"/>
  <c r="G199" i="17"/>
  <c r="G132" i="17"/>
  <c r="G16" i="17"/>
  <c r="G69" i="17" s="1"/>
  <c r="G102" i="11"/>
  <c r="G154" i="14"/>
  <c r="F236" i="13"/>
  <c r="F181" i="13"/>
  <c r="E245" i="13"/>
  <c r="E190" i="13"/>
  <c r="G14" i="17"/>
  <c r="G67" i="17" s="1"/>
  <c r="G100" i="11"/>
  <c r="F70" i="12"/>
  <c r="F59" i="13" s="1"/>
  <c r="F116" i="13" s="1"/>
  <c r="F168" i="13" s="1"/>
  <c r="E56" i="12"/>
  <c r="E45" i="13" s="1"/>
  <c r="E102" i="13" s="1"/>
  <c r="E154" i="13" s="1"/>
  <c r="F251" i="13"/>
  <c r="F196" i="13"/>
  <c r="E243" i="13"/>
  <c r="C130" i="13"/>
  <c r="F260" i="13"/>
  <c r="F206" i="13"/>
  <c r="G204" i="17"/>
  <c r="G137" i="17"/>
  <c r="D70" i="14"/>
  <c r="D69" i="14"/>
  <c r="G135" i="17"/>
  <c r="G202" i="17"/>
  <c r="G170" i="10"/>
  <c r="G125" i="10"/>
  <c r="G35" i="10"/>
  <c r="G140" i="10"/>
  <c r="G155" i="10"/>
  <c r="E213" i="13"/>
  <c r="E267" i="13"/>
  <c r="G57" i="17"/>
  <c r="G110" i="17" s="1"/>
  <c r="G126" i="12"/>
  <c r="F46" i="11"/>
  <c r="F15" i="13" s="1"/>
  <c r="F72" i="13" s="1"/>
  <c r="F124" i="13" s="1"/>
  <c r="G27" i="17"/>
  <c r="G80" i="17" s="1"/>
  <c r="G113" i="11"/>
  <c r="D23" i="18"/>
  <c r="D54" i="18" s="1"/>
  <c r="E84" i="12"/>
  <c r="J151" i="17"/>
  <c r="J218" i="17"/>
  <c r="D178" i="13"/>
  <c r="J59" i="16"/>
  <c r="G11" i="7"/>
  <c r="J35" i="6"/>
  <c r="F24" i="17"/>
  <c r="F77" i="17" s="1"/>
  <c r="F110" i="11"/>
  <c r="F19" i="17"/>
  <c r="F72" i="17" s="1"/>
  <c r="F105" i="11"/>
  <c r="F258" i="13"/>
  <c r="F204" i="13"/>
  <c r="E40" i="14"/>
  <c r="G51" i="4"/>
  <c r="G242" i="17"/>
  <c r="G178" i="17"/>
  <c r="D29" i="18"/>
  <c r="D60" i="18" s="1"/>
  <c r="E90" i="12"/>
  <c r="F237" i="13"/>
  <c r="F182" i="13"/>
  <c r="E21" i="18"/>
  <c r="E52" i="18" s="1"/>
  <c r="F82" i="12"/>
  <c r="G215" i="17"/>
  <c r="G148" i="17"/>
  <c r="I218" i="17"/>
  <c r="I151" i="17"/>
  <c r="B65" i="13"/>
  <c r="D200" i="13" s="1"/>
  <c r="F145" i="17"/>
  <c r="F212" i="17"/>
  <c r="F207" i="17"/>
  <c r="F140" i="17"/>
  <c r="E62" i="12"/>
  <c r="E51" i="13" s="1"/>
  <c r="E108" i="13" s="1"/>
  <c r="E160" i="13" s="1"/>
  <c r="D26" i="18"/>
  <c r="D57" i="18" s="1"/>
  <c r="E87" i="12"/>
  <c r="E31" i="14"/>
  <c r="E54" i="14" s="1"/>
  <c r="F88" i="11"/>
  <c r="F234" i="17"/>
  <c r="F167" i="17"/>
  <c r="G67" i="12"/>
  <c r="G56" i="13" s="1"/>
  <c r="G113" i="13" s="1"/>
  <c r="G165" i="13" s="1"/>
  <c r="E35" i="18"/>
  <c r="E63" i="18" s="1"/>
  <c r="F96" i="12"/>
  <c r="E245" i="17"/>
  <c r="E182" i="17"/>
  <c r="E247" i="17"/>
  <c r="E184" i="17"/>
  <c r="E30" i="14"/>
  <c r="E53" i="14" s="1"/>
  <c r="F87" i="11"/>
  <c r="D28" i="18"/>
  <c r="D59" i="18" s="1"/>
  <c r="E89" i="12"/>
  <c r="F50" i="17"/>
  <c r="F103" i="17" s="1"/>
  <c r="F119" i="12"/>
  <c r="F21" i="17"/>
  <c r="F74" i="17" s="1"/>
  <c r="F107" i="11"/>
  <c r="D29" i="14"/>
  <c r="D52" i="14" s="1"/>
  <c r="E86" i="11"/>
  <c r="E58" i="12"/>
  <c r="E47" i="13" s="1"/>
  <c r="E104" i="13" s="1"/>
  <c r="E156" i="13" s="1"/>
  <c r="N64" i="4"/>
  <c r="O61" i="4" s="1"/>
  <c r="G61" i="11"/>
  <c r="G30" i="13" s="1"/>
  <c r="G87" i="13" s="1"/>
  <c r="G139" i="13" s="1"/>
  <c r="E273" i="13"/>
  <c r="E219" i="13"/>
  <c r="F47" i="12"/>
  <c r="F36" i="13" s="1"/>
  <c r="F93" i="13" s="1"/>
  <c r="F145" i="13" s="1"/>
  <c r="G275" i="13"/>
  <c r="G224" i="13"/>
  <c r="G55" i="17"/>
  <c r="G108" i="17" s="1"/>
  <c r="G124" i="12"/>
  <c r="K39" i="16"/>
  <c r="G34" i="17"/>
  <c r="G87" i="17" s="1"/>
  <c r="G103" i="12"/>
  <c r="F34" i="18"/>
  <c r="F62" i="18" s="1"/>
  <c r="G95" i="12"/>
  <c r="G37" i="17"/>
  <c r="G90" i="17" s="1"/>
  <c r="G106" i="12"/>
  <c r="F44" i="11"/>
  <c r="F13" i="13" s="1"/>
  <c r="F70" i="13" s="1"/>
  <c r="F122" i="13" s="1"/>
  <c r="F238" i="17"/>
  <c r="F171" i="17"/>
  <c r="F209" i="17"/>
  <c r="F142" i="17"/>
  <c r="E215" i="13"/>
  <c r="E269" i="13"/>
  <c r="E14" i="18"/>
  <c r="F75" i="12"/>
  <c r="G252" i="13"/>
  <c r="G197" i="13"/>
  <c r="E17" i="18"/>
  <c r="E48" i="18" s="1"/>
  <c r="F78" i="12"/>
  <c r="F39" i="6"/>
  <c r="C13" i="7"/>
  <c r="F52" i="17"/>
  <c r="F105" i="17" s="1"/>
  <c r="G173" i="17" s="1"/>
  <c r="F121" i="12"/>
  <c r="G240" i="17"/>
  <c r="G176" i="17"/>
  <c r="F48" i="17"/>
  <c r="F101" i="17" s="1"/>
  <c r="F117" i="12"/>
  <c r="F154" i="18"/>
  <c r="F159" i="18" s="1"/>
  <c r="F169" i="18"/>
  <c r="F168" i="18"/>
  <c r="G222" i="17"/>
  <c r="G155" i="17"/>
  <c r="E251" i="17"/>
  <c r="E188" i="17"/>
  <c r="E125" i="18"/>
  <c r="E142" i="18" s="1"/>
  <c r="G155" i="18" s="1"/>
  <c r="G163" i="18"/>
  <c r="E124" i="18"/>
  <c r="E141" i="18" s="1"/>
  <c r="G167" i="18"/>
  <c r="E126" i="18"/>
  <c r="E143" i="18" s="1"/>
  <c r="G156" i="18" s="1"/>
  <c r="G164" i="18"/>
  <c r="E61" i="12"/>
  <c r="E50" i="13" s="1"/>
  <c r="E107" i="13" s="1"/>
  <c r="E159" i="13" s="1"/>
  <c r="G225" i="17"/>
  <c r="G158" i="17"/>
  <c r="F235" i="13"/>
  <c r="F180" i="13"/>
  <c r="F50" i="12"/>
  <c r="F39" i="13" s="1"/>
  <c r="F96" i="13" s="1"/>
  <c r="F148" i="13" s="1"/>
  <c r="F49" i="11"/>
  <c r="F18" i="13" s="1"/>
  <c r="F75" i="13" s="1"/>
  <c r="F127" i="13" s="1"/>
  <c r="D45" i="18"/>
  <c r="E37" i="18"/>
  <c r="E65" i="18" s="1"/>
  <c r="F98" i="12"/>
  <c r="E15" i="18"/>
  <c r="E46" i="18" s="1"/>
  <c r="F76" i="12"/>
  <c r="E248" i="13"/>
  <c r="E193" i="13"/>
  <c r="M50" i="4"/>
  <c r="M52" i="4" s="1"/>
  <c r="F49" i="4"/>
  <c r="F236" i="17"/>
  <c r="F169" i="17"/>
  <c r="F52" i="12"/>
  <c r="F41" i="13" s="1"/>
  <c r="F98" i="13" s="1"/>
  <c r="F150" i="13" s="1"/>
  <c r="F42" i="17"/>
  <c r="F95" i="17" s="1"/>
  <c r="F111" i="12"/>
  <c r="E272" i="13"/>
  <c r="E218" i="13"/>
  <c r="G10" i="17"/>
  <c r="G63" i="17" s="1"/>
  <c r="G96" i="11"/>
  <c r="E43" i="14"/>
  <c r="F195" i="13"/>
  <c r="F250" i="13"/>
  <c r="F53" i="17"/>
  <c r="F106" i="17" s="1"/>
  <c r="G174" i="17" s="1"/>
  <c r="F122" i="12"/>
  <c r="F207" i="13"/>
  <c r="F261" i="13"/>
  <c r="F185" i="13"/>
  <c r="F240" i="13"/>
  <c r="D25" i="14"/>
  <c r="D48" i="14" s="1"/>
  <c r="E82" i="11"/>
  <c r="F276" i="13"/>
  <c r="F225" i="13"/>
  <c r="D68" i="13"/>
  <c r="G41" i="17"/>
  <c r="G94" i="17" s="1"/>
  <c r="G110" i="12"/>
  <c r="E57" i="12"/>
  <c r="E46" i="13" s="1"/>
  <c r="E103" i="13" s="1"/>
  <c r="E155" i="13" s="1"/>
  <c r="E12" i="13"/>
  <c r="E69" i="13" s="1"/>
  <c r="E37" i="14" s="1"/>
  <c r="F43" i="11"/>
  <c r="F20" i="18"/>
  <c r="F51" i="18" s="1"/>
  <c r="G81" i="12"/>
  <c r="J34" i="15"/>
  <c r="G28" i="17"/>
  <c r="G81" i="17" s="1"/>
  <c r="G114" i="11"/>
  <c r="F263" i="13"/>
  <c r="F209" i="13"/>
  <c r="F230" i="17"/>
  <c r="F163" i="17"/>
  <c r="D33" i="18"/>
  <c r="E94" i="12"/>
  <c r="G9" i="17"/>
  <c r="G62" i="17" s="1"/>
  <c r="G95" i="11"/>
  <c r="G198" i="17"/>
  <c r="G131" i="17"/>
  <c r="E53" i="11"/>
  <c r="E22" i="13" s="1"/>
  <c r="E79" i="13" s="1"/>
  <c r="E131" i="13" s="1"/>
  <c r="H54" i="17"/>
  <c r="H107" i="17" s="1"/>
  <c r="H123" i="12"/>
  <c r="I54" i="17" s="1"/>
  <c r="I107" i="17" s="1"/>
  <c r="D24" i="18"/>
  <c r="D55" i="18" s="1"/>
  <c r="E85" i="12"/>
  <c r="F54" i="12"/>
  <c r="F43" i="13" s="1"/>
  <c r="F100" i="13" s="1"/>
  <c r="F152" i="13" s="1"/>
  <c r="G12" i="17"/>
  <c r="G65" i="17" s="1"/>
  <c r="G98" i="11"/>
  <c r="F68" i="12"/>
  <c r="F57" i="13" s="1"/>
  <c r="F114" i="13" s="1"/>
  <c r="F166" i="13" s="1"/>
  <c r="E268" i="13"/>
  <c r="E214" i="13"/>
  <c r="F234" i="13"/>
  <c r="D121" i="13"/>
  <c r="F179" i="13" s="1"/>
  <c r="G216" i="17"/>
  <c r="G149" i="17"/>
  <c r="E60" i="12"/>
  <c r="E49" i="13" s="1"/>
  <c r="E106" i="13" s="1"/>
  <c r="E158" i="13" s="1"/>
  <c r="G197" i="17"/>
  <c r="G130" i="17"/>
  <c r="H40" i="17"/>
  <c r="H93" i="17" s="1"/>
  <c r="H109" i="12"/>
  <c r="I40" i="17" s="1"/>
  <c r="I93" i="17" s="1"/>
  <c r="E56" i="11"/>
  <c r="E25" i="13" s="1"/>
  <c r="E82" i="13" s="1"/>
  <c r="E134" i="13" s="1"/>
  <c r="E244" i="13"/>
  <c r="E189" i="13"/>
  <c r="H239" i="17"/>
  <c r="H175" i="17"/>
  <c r="F265" i="13"/>
  <c r="F211" i="13"/>
  <c r="D31" i="18"/>
  <c r="E92" i="12"/>
  <c r="G200" i="17"/>
  <c r="G133" i="17"/>
  <c r="E16" i="18"/>
  <c r="E47" i="18" s="1"/>
  <c r="F77" i="12"/>
  <c r="E59" i="12"/>
  <c r="E48" i="13" s="1"/>
  <c r="E105" i="13" s="1"/>
  <c r="E157" i="13" s="1"/>
  <c r="E270" i="13"/>
  <c r="E216" i="13"/>
  <c r="F46" i="12"/>
  <c r="F35" i="13" s="1"/>
  <c r="E41" i="14"/>
  <c r="H10" i="7"/>
  <c r="K38" i="6"/>
  <c r="E44" i="14"/>
  <c r="E217" i="13"/>
  <c r="E271" i="13"/>
  <c r="H161" i="17"/>
  <c r="H228" i="17"/>
  <c r="E247" i="13"/>
  <c r="E192" i="13"/>
  <c r="E246" i="17"/>
  <c r="E183" i="17"/>
  <c r="C32" i="14"/>
  <c r="G35" i="17"/>
  <c r="G88" i="17" s="1"/>
  <c r="G104" i="12"/>
  <c r="F50" i="11"/>
  <c r="F19" i="13" s="1"/>
  <c r="F76" i="13" s="1"/>
  <c r="F128" i="13" s="1"/>
  <c r="E57" i="11"/>
  <c r="E26" i="13" s="1"/>
  <c r="E83" i="13" s="1"/>
  <c r="E135" i="13" s="1"/>
  <c r="F46" i="17"/>
  <c r="F99" i="17" s="1"/>
  <c r="F115" i="12"/>
  <c r="G229" i="17"/>
  <c r="G162" i="17"/>
  <c r="E266" i="13"/>
  <c r="E212" i="13"/>
  <c r="F259" i="13"/>
  <c r="F205" i="13"/>
  <c r="G29" i="17"/>
  <c r="G82" i="17" s="1"/>
  <c r="G115" i="11"/>
  <c r="D78" i="14"/>
  <c r="D77" i="14"/>
  <c r="I45" i="15"/>
  <c r="I47" i="15" s="1"/>
  <c r="G20" i="7"/>
  <c r="J51" i="6"/>
  <c r="D57" i="14"/>
  <c r="F140" i="14" s="1"/>
  <c r="E38" i="14"/>
  <c r="E51" i="11"/>
  <c r="E20" i="13" s="1"/>
  <c r="E77" i="13" s="1"/>
  <c r="E129" i="13" s="1"/>
  <c r="K23" i="4"/>
  <c r="H35" i="7" s="1"/>
  <c r="H36" i="7" s="1"/>
  <c r="F152" i="14"/>
  <c r="D63" i="14"/>
  <c r="D62" i="14"/>
  <c r="F139" i="14" s="1"/>
  <c r="D27" i="18"/>
  <c r="D58" i="18" s="1"/>
  <c r="E88" i="12"/>
  <c r="G36" i="17"/>
  <c r="G89" i="17" s="1"/>
  <c r="G105" i="12"/>
  <c r="D27" i="14"/>
  <c r="D50" i="14" s="1"/>
  <c r="E84" i="11"/>
  <c r="B42" i="18"/>
  <c r="B12" i="18"/>
  <c r="G223" i="17"/>
  <c r="G156" i="17"/>
  <c r="F43" i="17"/>
  <c r="F96" i="17" s="1"/>
  <c r="F112" i="12"/>
  <c r="E11" i="13"/>
  <c r="F48" i="12"/>
  <c r="F37" i="13" s="1"/>
  <c r="F94" i="13" s="1"/>
  <c r="F146" i="13" s="1"/>
  <c r="E58" i="11"/>
  <c r="E27" i="13" s="1"/>
  <c r="E84" i="13" s="1"/>
  <c r="E136" i="13" s="1"/>
  <c r="F25" i="17"/>
  <c r="F78" i="17" s="1"/>
  <c r="F111" i="11"/>
  <c r="G217" i="17"/>
  <c r="G150" i="17"/>
  <c r="F47" i="17"/>
  <c r="F100" i="17" s="1"/>
  <c r="F116" i="12"/>
  <c r="M44" i="4"/>
  <c r="M45" i="4" s="1"/>
  <c r="F23" i="17"/>
  <c r="F76" i="17" s="1"/>
  <c r="F109" i="11"/>
  <c r="E242" i="13"/>
  <c r="E187" i="13"/>
  <c r="F20" i="17"/>
  <c r="F73" i="17" s="1"/>
  <c r="F106" i="11"/>
  <c r="H15" i="17"/>
  <c r="H68" i="17" s="1"/>
  <c r="H101" i="11"/>
  <c r="I15" i="17" s="1"/>
  <c r="I68" i="17" s="1"/>
  <c r="G224" i="17"/>
  <c r="G157" i="17"/>
  <c r="G56" i="17"/>
  <c r="G109" i="17" s="1"/>
  <c r="G125" i="12"/>
  <c r="G13" i="17"/>
  <c r="G66" i="17" s="1"/>
  <c r="G99" i="11"/>
  <c r="F18" i="17"/>
  <c r="F71" i="17" s="1"/>
  <c r="F104" i="11"/>
  <c r="G33" i="17"/>
  <c r="G86" i="17" s="1"/>
  <c r="G102" i="12"/>
  <c r="F231" i="17"/>
  <c r="F164" i="17"/>
  <c r="E203" i="13"/>
  <c r="E257" i="13"/>
  <c r="E55" i="12"/>
  <c r="E44" i="13" s="1"/>
  <c r="E101" i="13" s="1"/>
  <c r="E153" i="13" s="1"/>
  <c r="G39" i="17"/>
  <c r="G92" i="17" s="1"/>
  <c r="G108" i="12"/>
  <c r="E249" i="13"/>
  <c r="E194" i="13"/>
  <c r="G227" i="17"/>
  <c r="G160" i="17"/>
  <c r="F213" i="17"/>
  <c r="F146" i="17"/>
  <c r="C33" i="13"/>
  <c r="C10" i="13" s="1"/>
  <c r="F51" i="17"/>
  <c r="F104" i="17" s="1"/>
  <c r="G172" i="17" s="1"/>
  <c r="F120" i="12"/>
  <c r="F44" i="17"/>
  <c r="F97" i="17" s="1"/>
  <c r="F113" i="12"/>
  <c r="D26" i="14"/>
  <c r="D49" i="14" s="1"/>
  <c r="E83" i="11"/>
  <c r="F235" i="17"/>
  <c r="F168" i="17"/>
  <c r="F211" i="17"/>
  <c r="F144" i="17"/>
  <c r="F22" i="17"/>
  <c r="F75" i="17" s="1"/>
  <c r="F108" i="11"/>
  <c r="D32" i="18"/>
  <c r="E93" i="12"/>
  <c r="F208" i="17"/>
  <c r="F141" i="17"/>
  <c r="E36" i="18"/>
  <c r="E64" i="18" s="1"/>
  <c r="F97" i="12"/>
  <c r="E118" i="17"/>
  <c r="H203" i="17"/>
  <c r="H136" i="17"/>
  <c r="F62" i="11"/>
  <c r="F31" i="13" s="1"/>
  <c r="F88" i="13" s="1"/>
  <c r="F140" i="13" s="1"/>
  <c r="G241" i="17"/>
  <c r="G177" i="17"/>
  <c r="G201" i="17"/>
  <c r="G134" i="17"/>
  <c r="F139" i="17"/>
  <c r="F206" i="17"/>
  <c r="G221" i="17"/>
  <c r="G154" i="17"/>
  <c r="F59" i="11" l="1"/>
  <c r="F28" i="13" s="1"/>
  <c r="F85" i="13" s="1"/>
  <c r="F137" i="13" s="1"/>
  <c r="F92" i="13"/>
  <c r="F144" i="13" s="1"/>
  <c r="E61" i="13"/>
  <c r="E151" i="14"/>
  <c r="H71" i="11"/>
  <c r="H14" i="14" s="1"/>
  <c r="H73" i="11"/>
  <c r="G13" i="14"/>
  <c r="G36" i="14" s="1"/>
  <c r="F23" i="14"/>
  <c r="H67" i="11"/>
  <c r="C95" i="14"/>
  <c r="E143" i="14" s="1"/>
  <c r="C94" i="14"/>
  <c r="C12" i="14"/>
  <c r="E159" i="14"/>
  <c r="F153" i="14"/>
  <c r="G14" i="14"/>
  <c r="H75" i="11"/>
  <c r="H18" i="14" s="1"/>
  <c r="G18" i="14"/>
  <c r="H72" i="11"/>
  <c r="H15" i="14" s="1"/>
  <c r="G15" i="14"/>
  <c r="H16" i="14"/>
  <c r="G16" i="14"/>
  <c r="G79" i="11"/>
  <c r="F22" i="14"/>
  <c r="H74" i="11"/>
  <c r="H17" i="14" s="1"/>
  <c r="G17" i="14"/>
  <c r="H77" i="11"/>
  <c r="H20" i="14" s="1"/>
  <c r="G20" i="14"/>
  <c r="H78" i="11"/>
  <c r="H21" i="14" s="1"/>
  <c r="G21" i="14"/>
  <c r="D188" i="13"/>
  <c r="D229" i="13" s="1"/>
  <c r="F115" i="17"/>
  <c r="G246" i="17" s="1"/>
  <c r="H159" i="17"/>
  <c r="H226" i="17"/>
  <c r="F114" i="17"/>
  <c r="H38" i="17"/>
  <c r="H91" i="17" s="1"/>
  <c r="H107" i="12"/>
  <c r="I38" i="17" s="1"/>
  <c r="I91" i="17" s="1"/>
  <c r="G51" i="12"/>
  <c r="G40" i="13" s="1"/>
  <c r="G97" i="13" s="1"/>
  <c r="G149" i="13" s="1"/>
  <c r="F116" i="17"/>
  <c r="G79" i="12"/>
  <c r="F18" i="18"/>
  <c r="F49" i="18" s="1"/>
  <c r="G208" i="13"/>
  <c r="G262" i="13"/>
  <c r="K48" i="6"/>
  <c r="H21" i="7"/>
  <c r="H146" i="10"/>
  <c r="H131" i="10"/>
  <c r="H23" i="9"/>
  <c r="H176" i="10"/>
  <c r="D284" i="13"/>
  <c r="D285" i="13"/>
  <c r="E188" i="13"/>
  <c r="F6" i="6"/>
  <c r="E259" i="17" s="1"/>
  <c r="G42" i="14"/>
  <c r="H42" i="14"/>
  <c r="E191" i="17"/>
  <c r="C12" i="7" s="1"/>
  <c r="B12" i="7"/>
  <c r="C141" i="10" s="1"/>
  <c r="H239" i="13"/>
  <c r="H184" i="13"/>
  <c r="F15" i="6"/>
  <c r="E260" i="17" s="1"/>
  <c r="H48" i="11"/>
  <c r="H17" i="13" s="1"/>
  <c r="H74" i="13" s="1"/>
  <c r="H126" i="13" s="1"/>
  <c r="N58" i="4"/>
  <c r="O55" i="4" s="1"/>
  <c r="O56" i="4" s="1"/>
  <c r="O57" i="4" s="1"/>
  <c r="M46" i="4"/>
  <c r="N43" i="4" s="1"/>
  <c r="N44" i="4" s="1"/>
  <c r="N46" i="4" s="1"/>
  <c r="O43" i="4" s="1"/>
  <c r="I161" i="10"/>
  <c r="I176" i="10"/>
  <c r="I131" i="10"/>
  <c r="I146" i="10"/>
  <c r="I23" i="9"/>
  <c r="G23" i="17"/>
  <c r="G76" i="17" s="1"/>
  <c r="G109" i="11"/>
  <c r="F257" i="13"/>
  <c r="F203" i="13"/>
  <c r="E156" i="14"/>
  <c r="F118" i="17"/>
  <c r="G230" i="17"/>
  <c r="G163" i="17"/>
  <c r="F15" i="18"/>
  <c r="F46" i="18" s="1"/>
  <c r="G76" i="12"/>
  <c r="F61" i="12"/>
  <c r="F50" i="13" s="1"/>
  <c r="F107" i="13" s="1"/>
  <c r="F159" i="13" s="1"/>
  <c r="H176" i="17"/>
  <c r="H240" i="17"/>
  <c r="G209" i="17"/>
  <c r="G142" i="17"/>
  <c r="H215" i="17"/>
  <c r="H148" i="17"/>
  <c r="H16" i="17"/>
  <c r="H69" i="17" s="1"/>
  <c r="H102" i="11"/>
  <c r="I16" i="17" s="1"/>
  <c r="I69" i="17" s="1"/>
  <c r="E21" i="13"/>
  <c r="E78" i="13" s="1"/>
  <c r="F52" i="11"/>
  <c r="E28" i="14"/>
  <c r="E51" i="14" s="1"/>
  <c r="F85" i="11"/>
  <c r="H154" i="17"/>
  <c r="H221" i="17"/>
  <c r="F51" i="11"/>
  <c r="F20" i="13" s="1"/>
  <c r="F77" i="13" s="1"/>
  <c r="F129" i="13" s="1"/>
  <c r="G263" i="13"/>
  <c r="G209" i="13"/>
  <c r="F272" i="13"/>
  <c r="F218" i="13"/>
  <c r="G48" i="17"/>
  <c r="G101" i="17" s="1"/>
  <c r="G117" i="12"/>
  <c r="G50" i="17"/>
  <c r="G103" i="17" s="1"/>
  <c r="G119" i="12"/>
  <c r="F31" i="14"/>
  <c r="F54" i="14" s="1"/>
  <c r="G88" i="11"/>
  <c r="G19" i="17"/>
  <c r="G72" i="17" s="1"/>
  <c r="G105" i="11"/>
  <c r="H204" i="17"/>
  <c r="H137" i="17"/>
  <c r="F243" i="13"/>
  <c r="D130" i="13"/>
  <c r="F188" i="13" s="1"/>
  <c r="H11" i="17"/>
  <c r="H64" i="17" s="1"/>
  <c r="H97" i="11"/>
  <c r="I11" i="17" s="1"/>
  <c r="I64" i="17" s="1"/>
  <c r="G211" i="17"/>
  <c r="G144" i="17"/>
  <c r="G22" i="17"/>
  <c r="G75" i="17" s="1"/>
  <c r="G108" i="11"/>
  <c r="G18" i="17"/>
  <c r="G71" i="17" s="1"/>
  <c r="G104" i="11"/>
  <c r="G231" i="17"/>
  <c r="G164" i="17"/>
  <c r="F242" i="13"/>
  <c r="F187" i="13"/>
  <c r="G68" i="12"/>
  <c r="G57" i="13" s="1"/>
  <c r="G114" i="13" s="1"/>
  <c r="G166" i="13" s="1"/>
  <c r="H9" i="17"/>
  <c r="H62" i="17" s="1"/>
  <c r="H95" i="11"/>
  <c r="I9" i="17" s="1"/>
  <c r="I62" i="17" s="1"/>
  <c r="F12" i="13"/>
  <c r="F69" i="13" s="1"/>
  <c r="F37" i="14" s="1"/>
  <c r="G43" i="11"/>
  <c r="G52" i="12"/>
  <c r="G41" i="13" s="1"/>
  <c r="G98" i="13" s="1"/>
  <c r="G150" i="13" s="1"/>
  <c r="F37" i="18"/>
  <c r="F65" i="18" s="1"/>
  <c r="G98" i="12"/>
  <c r="G236" i="17"/>
  <c r="G169" i="17"/>
  <c r="G238" i="17"/>
  <c r="G171" i="17"/>
  <c r="F21" i="18"/>
  <c r="F52" i="18" s="1"/>
  <c r="G82" i="12"/>
  <c r="G207" i="17"/>
  <c r="G140" i="17"/>
  <c r="G60" i="11"/>
  <c r="G29" i="13" s="1"/>
  <c r="G86" i="13" s="1"/>
  <c r="G138" i="13" s="1"/>
  <c r="H199" i="17"/>
  <c r="H132" i="17"/>
  <c r="F55" i="11"/>
  <c r="F24" i="13" s="1"/>
  <c r="F81" i="13" s="1"/>
  <c r="F133" i="13" s="1"/>
  <c r="F63" i="12"/>
  <c r="F52" i="13" s="1"/>
  <c r="F109" i="13" s="1"/>
  <c r="F161" i="13" s="1"/>
  <c r="G139" i="17"/>
  <c r="G206" i="17"/>
  <c r="F38" i="14"/>
  <c r="I154" i="10"/>
  <c r="I169" i="10"/>
  <c r="I124" i="10"/>
  <c r="I139" i="10"/>
  <c r="I34" i="10"/>
  <c r="E31" i="18"/>
  <c r="F92" i="12"/>
  <c r="F119" i="17"/>
  <c r="G276" i="13"/>
  <c r="G225" i="13"/>
  <c r="H197" i="17"/>
  <c r="H130" i="17"/>
  <c r="E121" i="13"/>
  <c r="G179" i="13" s="1"/>
  <c r="G234" i="13"/>
  <c r="E28" i="18"/>
  <c r="E59" i="18" s="1"/>
  <c r="F89" i="12"/>
  <c r="E26" i="18"/>
  <c r="E57" i="18" s="1"/>
  <c r="F87" i="12"/>
  <c r="G24" i="17"/>
  <c r="G77" i="17" s="1"/>
  <c r="G110" i="11"/>
  <c r="F245" i="17"/>
  <c r="F182" i="17"/>
  <c r="G251" i="13"/>
  <c r="G196" i="13"/>
  <c r="G69" i="12"/>
  <c r="G58" i="13" s="1"/>
  <c r="G115" i="13" s="1"/>
  <c r="G167" i="13" s="1"/>
  <c r="F191" i="13"/>
  <c r="F246" i="13"/>
  <c r="F274" i="13"/>
  <c r="F220" i="13"/>
  <c r="H12" i="17"/>
  <c r="H65" i="17" s="1"/>
  <c r="H98" i="11"/>
  <c r="I12" i="17" s="1"/>
  <c r="I65" i="17" s="1"/>
  <c r="E33" i="18"/>
  <c r="F94" i="12"/>
  <c r="D39" i="18"/>
  <c r="G47" i="12"/>
  <c r="G36" i="13" s="1"/>
  <c r="G93" i="13" s="1"/>
  <c r="G145" i="13" s="1"/>
  <c r="G145" i="17"/>
  <c r="G212" i="17"/>
  <c r="F56" i="12"/>
  <c r="F45" i="13" s="1"/>
  <c r="F102" i="13" s="1"/>
  <c r="F154" i="13" s="1"/>
  <c r="C42" i="18"/>
  <c r="C12" i="18"/>
  <c r="G277" i="13"/>
  <c r="G226" i="13"/>
  <c r="D274" i="17"/>
  <c r="D276" i="17" s="1"/>
  <c r="B22" i="7"/>
  <c r="E47" i="6"/>
  <c r="H13" i="17"/>
  <c r="H66" i="17" s="1"/>
  <c r="H99" i="11"/>
  <c r="I13" i="17" s="1"/>
  <c r="I66" i="17" s="1"/>
  <c r="H39" i="17"/>
  <c r="H92" i="17" s="1"/>
  <c r="H108" i="12"/>
  <c r="I39" i="17" s="1"/>
  <c r="I92" i="17" s="1"/>
  <c r="H201" i="17"/>
  <c r="H134" i="17"/>
  <c r="G235" i="17"/>
  <c r="G168" i="17"/>
  <c r="D165" i="18"/>
  <c r="D166" i="18"/>
  <c r="D32" i="14"/>
  <c r="H200" i="17"/>
  <c r="H133" i="17"/>
  <c r="G53" i="17"/>
  <c r="G106" i="17" s="1"/>
  <c r="H174" i="17" s="1"/>
  <c r="G122" i="12"/>
  <c r="G154" i="18"/>
  <c r="G159" i="18" s="1"/>
  <c r="G168" i="18"/>
  <c r="G169" i="18"/>
  <c r="G52" i="17"/>
  <c r="G105" i="17" s="1"/>
  <c r="H173" i="17" s="1"/>
  <c r="G121" i="12"/>
  <c r="G258" i="13"/>
  <c r="G204" i="13"/>
  <c r="F30" i="14"/>
  <c r="F53" i="14" s="1"/>
  <c r="G87" i="11"/>
  <c r="F62" i="12"/>
  <c r="F51" i="13" s="1"/>
  <c r="F108" i="13" s="1"/>
  <c r="F160" i="13" s="1"/>
  <c r="F267" i="13"/>
  <c r="F213" i="13"/>
  <c r="G43" i="17"/>
  <c r="G96" i="17" s="1"/>
  <c r="G112" i="12"/>
  <c r="E57" i="14"/>
  <c r="G140" i="14" s="1"/>
  <c r="E46" i="14"/>
  <c r="G49" i="11"/>
  <c r="G18" i="13" s="1"/>
  <c r="G75" i="13" s="1"/>
  <c r="G127" i="13" s="1"/>
  <c r="G44" i="11"/>
  <c r="G13" i="13" s="1"/>
  <c r="G70" i="13" s="1"/>
  <c r="G122" i="13" s="1"/>
  <c r="F273" i="13"/>
  <c r="F219" i="13"/>
  <c r="H125" i="10"/>
  <c r="H140" i="10"/>
  <c r="H155" i="10"/>
  <c r="H170" i="10"/>
  <c r="H35" i="10"/>
  <c r="G70" i="12"/>
  <c r="G59" i="13" s="1"/>
  <c r="G116" i="13" s="1"/>
  <c r="G168" i="13" s="1"/>
  <c r="F54" i="11"/>
  <c r="F23" i="13" s="1"/>
  <c r="F80" i="13" s="1"/>
  <c r="F132" i="13" s="1"/>
  <c r="G143" i="17"/>
  <c r="G210" i="17"/>
  <c r="G54" i="12"/>
  <c r="G43" i="13" s="1"/>
  <c r="G100" i="13" s="1"/>
  <c r="G152" i="13" s="1"/>
  <c r="G62" i="11"/>
  <c r="G31" i="13" s="1"/>
  <c r="G88" i="13" s="1"/>
  <c r="G140" i="13" s="1"/>
  <c r="F55" i="12"/>
  <c r="F44" i="13" s="1"/>
  <c r="F101" i="13" s="1"/>
  <c r="F153" i="13" s="1"/>
  <c r="H241" i="17"/>
  <c r="H177" i="17"/>
  <c r="E27" i="14"/>
  <c r="E50" i="14" s="1"/>
  <c r="F84" i="11"/>
  <c r="G46" i="17"/>
  <c r="G99" i="17" s="1"/>
  <c r="G115" i="12"/>
  <c r="F41" i="14"/>
  <c r="F151" i="14"/>
  <c r="D94" i="14"/>
  <c r="F138" i="14" s="1"/>
  <c r="D95" i="14"/>
  <c r="F143" i="14" s="1"/>
  <c r="G265" i="13"/>
  <c r="G211" i="13"/>
  <c r="F57" i="12"/>
  <c r="F46" i="13" s="1"/>
  <c r="F103" i="13" s="1"/>
  <c r="F155" i="13" s="1"/>
  <c r="G185" i="13"/>
  <c r="G240" i="13"/>
  <c r="D172" i="10"/>
  <c r="D127" i="10"/>
  <c r="D37" i="10"/>
  <c r="D142" i="10"/>
  <c r="D157" i="10"/>
  <c r="G235" i="13"/>
  <c r="G180" i="13"/>
  <c r="E29" i="18"/>
  <c r="E60" i="18" s="1"/>
  <c r="F90" i="12"/>
  <c r="G278" i="13"/>
  <c r="G227" i="13"/>
  <c r="F245" i="13"/>
  <c r="F190" i="13"/>
  <c r="G45" i="17"/>
  <c r="G98" i="17" s="1"/>
  <c r="G114" i="12"/>
  <c r="H33" i="17"/>
  <c r="H86" i="17" s="1"/>
  <c r="H102" i="12"/>
  <c r="I33" i="17" s="1"/>
  <c r="I86" i="17" s="1"/>
  <c r="F266" i="13"/>
  <c r="F212" i="13"/>
  <c r="G25" i="17"/>
  <c r="G78" i="17" s="1"/>
  <c r="G111" i="11"/>
  <c r="G234" i="17"/>
  <c r="G167" i="17"/>
  <c r="E77" i="14"/>
  <c r="E78" i="14"/>
  <c r="F60" i="12"/>
  <c r="F49" i="13" s="1"/>
  <c r="F106" i="13" s="1"/>
  <c r="F158" i="13" s="1"/>
  <c r="E24" i="18"/>
  <c r="E55" i="18" s="1"/>
  <c r="F85" i="12"/>
  <c r="F268" i="13"/>
  <c r="F214" i="13"/>
  <c r="G50" i="12"/>
  <c r="G39" i="13" s="1"/>
  <c r="G96" i="13" s="1"/>
  <c r="G148" i="13" s="1"/>
  <c r="H37" i="17"/>
  <c r="H90" i="17" s="1"/>
  <c r="H106" i="12"/>
  <c r="I37" i="17" s="1"/>
  <c r="I90" i="17" s="1"/>
  <c r="H61" i="11"/>
  <c r="H30" i="13" s="1"/>
  <c r="H87" i="13" s="1"/>
  <c r="H139" i="13" s="1"/>
  <c r="G46" i="11"/>
  <c r="G15" i="13" s="1"/>
  <c r="G72" i="13" s="1"/>
  <c r="G124" i="13" s="1"/>
  <c r="H14" i="17"/>
  <c r="H67" i="17" s="1"/>
  <c r="H100" i="11"/>
  <c r="I14" i="17" s="1"/>
  <c r="I67" i="17" s="1"/>
  <c r="G49" i="12"/>
  <c r="G38" i="13" s="1"/>
  <c r="G95" i="13" s="1"/>
  <c r="G147" i="13" s="1"/>
  <c r="G45" i="11"/>
  <c r="G14" i="13" s="1"/>
  <c r="G71" i="13" s="1"/>
  <c r="G123" i="13" s="1"/>
  <c r="E22" i="18"/>
  <c r="E53" i="18" s="1"/>
  <c r="F83" i="12"/>
  <c r="G233" i="17"/>
  <c r="G166" i="17"/>
  <c r="G47" i="17"/>
  <c r="G100" i="17" s="1"/>
  <c r="G116" i="12"/>
  <c r="H160" i="17"/>
  <c r="H227" i="17"/>
  <c r="G253" i="13"/>
  <c r="G198" i="13"/>
  <c r="G213" i="17"/>
  <c r="G146" i="17"/>
  <c r="H36" i="17"/>
  <c r="H89" i="17" s="1"/>
  <c r="H105" i="12"/>
  <c r="I36" i="17" s="1"/>
  <c r="I89" i="17" s="1"/>
  <c r="F57" i="11"/>
  <c r="F26" i="13" s="1"/>
  <c r="F83" i="13" s="1"/>
  <c r="F135" i="13" s="1"/>
  <c r="F271" i="13"/>
  <c r="F217" i="13"/>
  <c r="H41" i="17"/>
  <c r="H94" i="17" s="1"/>
  <c r="H110" i="12"/>
  <c r="I41" i="17" s="1"/>
  <c r="I94" i="17" s="1"/>
  <c r="F43" i="14"/>
  <c r="G261" i="13"/>
  <c r="G207" i="13"/>
  <c r="H158" i="17"/>
  <c r="H225" i="17"/>
  <c r="H252" i="13"/>
  <c r="H197" i="13"/>
  <c r="G237" i="13"/>
  <c r="G182" i="13"/>
  <c r="H202" i="17"/>
  <c r="H135" i="17"/>
  <c r="G260" i="13"/>
  <c r="G206" i="13"/>
  <c r="G236" i="13"/>
  <c r="G181" i="13"/>
  <c r="G44" i="17"/>
  <c r="G97" i="17" s="1"/>
  <c r="G113" i="12"/>
  <c r="J136" i="17"/>
  <c r="J203" i="17"/>
  <c r="F58" i="11"/>
  <c r="F27" i="13" s="1"/>
  <c r="F84" i="13" s="1"/>
  <c r="F136" i="13" s="1"/>
  <c r="H157" i="17"/>
  <c r="H224" i="17"/>
  <c r="F248" i="13"/>
  <c r="F193" i="13"/>
  <c r="G46" i="12"/>
  <c r="G35" i="13" s="1"/>
  <c r="J239" i="17"/>
  <c r="J175" i="17"/>
  <c r="H28" i="17"/>
  <c r="H81" i="17" s="1"/>
  <c r="H114" i="11"/>
  <c r="I28" i="17" s="1"/>
  <c r="I81" i="17" s="1"/>
  <c r="H162" i="17"/>
  <c r="H229" i="17"/>
  <c r="F52" i="4"/>
  <c r="G59" i="11"/>
  <c r="G28" i="13" s="1"/>
  <c r="G85" i="13" s="1"/>
  <c r="G137" i="13" s="1"/>
  <c r="G78" i="12"/>
  <c r="F17" i="18"/>
  <c r="F48" i="18" s="1"/>
  <c r="G34" i="18"/>
  <c r="G62" i="18" s="1"/>
  <c r="H95" i="12"/>
  <c r="H34" i="18" s="1"/>
  <c r="H62" i="18" s="1"/>
  <c r="O62" i="4"/>
  <c r="O63" i="4" s="1"/>
  <c r="H57" i="17"/>
  <c r="H110" i="17" s="1"/>
  <c r="H126" i="12"/>
  <c r="I57" i="17" s="1"/>
  <c r="I110" i="17" s="1"/>
  <c r="E45" i="14"/>
  <c r="H53" i="12"/>
  <c r="H42" i="13" s="1"/>
  <c r="H99" i="13" s="1"/>
  <c r="H151" i="13" s="1"/>
  <c r="E32" i="18"/>
  <c r="F93" i="12"/>
  <c r="G232" i="17"/>
  <c r="G165" i="17"/>
  <c r="I136" i="17"/>
  <c r="I203" i="17"/>
  <c r="F249" i="13"/>
  <c r="F194" i="13"/>
  <c r="E27" i="18"/>
  <c r="E58" i="18" s="1"/>
  <c r="F88" i="12"/>
  <c r="G50" i="11"/>
  <c r="G19" i="13" s="1"/>
  <c r="G76" i="13" s="1"/>
  <c r="G128" i="13" s="1"/>
  <c r="F56" i="11"/>
  <c r="F25" i="13" s="1"/>
  <c r="F82" i="13" s="1"/>
  <c r="F134" i="13" s="1"/>
  <c r="I239" i="17"/>
  <c r="I175" i="17"/>
  <c r="H216" i="17"/>
  <c r="H149" i="17"/>
  <c r="F233" i="13"/>
  <c r="D120" i="13"/>
  <c r="H10" i="17"/>
  <c r="H63" i="17" s="1"/>
  <c r="H96" i="11"/>
  <c r="I10" i="17" s="1"/>
  <c r="I63" i="17" s="1"/>
  <c r="N49" i="4"/>
  <c r="G195" i="13"/>
  <c r="G250" i="13"/>
  <c r="H163" i="18"/>
  <c r="H167" i="18"/>
  <c r="F126" i="18"/>
  <c r="F143" i="18" s="1"/>
  <c r="H156" i="18" s="1"/>
  <c r="H164" i="18"/>
  <c r="F125" i="18"/>
  <c r="F142" i="18" s="1"/>
  <c r="H155" i="18" s="1"/>
  <c r="F124" i="18"/>
  <c r="F141" i="18" s="1"/>
  <c r="F58" i="12"/>
  <c r="F47" i="13" s="1"/>
  <c r="F104" i="13" s="1"/>
  <c r="F156" i="13" s="1"/>
  <c r="F35" i="18"/>
  <c r="F63" i="18" s="1"/>
  <c r="G96" i="12"/>
  <c r="D282" i="13"/>
  <c r="D283" i="13"/>
  <c r="H51" i="4"/>
  <c r="H178" i="17"/>
  <c r="H242" i="17"/>
  <c r="E25" i="18"/>
  <c r="E56" i="18" s="1"/>
  <c r="F86" i="12"/>
  <c r="F253" i="17"/>
  <c r="F246" i="17"/>
  <c r="F183" i="17"/>
  <c r="H264" i="13"/>
  <c r="H210" i="13"/>
  <c r="G20" i="17"/>
  <c r="G73" i="17" s="1"/>
  <c r="G106" i="11"/>
  <c r="G259" i="13"/>
  <c r="G205" i="13"/>
  <c r="G241" i="13"/>
  <c r="G186" i="13"/>
  <c r="F44" i="14"/>
  <c r="F247" i="13"/>
  <c r="F192" i="13"/>
  <c r="F53" i="11"/>
  <c r="F22" i="13" s="1"/>
  <c r="F79" i="13" s="1"/>
  <c r="F131" i="13" s="1"/>
  <c r="D33" i="13"/>
  <c r="D10" i="13" s="1"/>
  <c r="H198" i="17"/>
  <c r="H131" i="17"/>
  <c r="H34" i="17"/>
  <c r="H87" i="17" s="1"/>
  <c r="H103" i="12"/>
  <c r="I34" i="17" s="1"/>
  <c r="I87" i="17" s="1"/>
  <c r="F269" i="13"/>
  <c r="F215" i="13"/>
  <c r="F254" i="17"/>
  <c r="E30" i="18"/>
  <c r="E61" i="18" s="1"/>
  <c r="F91" i="12"/>
  <c r="H56" i="17"/>
  <c r="H109" i="17" s="1"/>
  <c r="H125" i="12"/>
  <c r="I56" i="17" s="1"/>
  <c r="I109" i="17" s="1"/>
  <c r="F250" i="17"/>
  <c r="F187" i="17"/>
  <c r="G208" i="17"/>
  <c r="G141" i="17"/>
  <c r="G48" i="12"/>
  <c r="G37" i="13" s="1"/>
  <c r="G94" i="13" s="1"/>
  <c r="G146" i="13" s="1"/>
  <c r="H29" i="17"/>
  <c r="H82" i="17" s="1"/>
  <c r="H115" i="11"/>
  <c r="I29" i="17" s="1"/>
  <c r="I82" i="17" s="1"/>
  <c r="F59" i="12"/>
  <c r="F48" i="13" s="1"/>
  <c r="F105" i="13" s="1"/>
  <c r="F157" i="13" s="1"/>
  <c r="J161" i="17"/>
  <c r="J228" i="17"/>
  <c r="F244" i="13"/>
  <c r="F189" i="13"/>
  <c r="J45" i="15"/>
  <c r="J47" i="15" s="1"/>
  <c r="H20" i="7"/>
  <c r="K51" i="6"/>
  <c r="M51" i="4"/>
  <c r="H222" i="17"/>
  <c r="H155" i="17"/>
  <c r="E29" i="14"/>
  <c r="E52" i="14" s="1"/>
  <c r="F86" i="11"/>
  <c r="H67" i="12"/>
  <c r="H56" i="13" s="1"/>
  <c r="H113" i="13" s="1"/>
  <c r="H165" i="13" s="1"/>
  <c r="F40" i="14"/>
  <c r="E23" i="18"/>
  <c r="E54" i="18" s="1"/>
  <c r="F84" i="12"/>
  <c r="F188" i="17"/>
  <c r="F251" i="17"/>
  <c r="F19" i="18"/>
  <c r="F50" i="18" s="1"/>
  <c r="G80" i="12"/>
  <c r="G49" i="17"/>
  <c r="G102" i="17" s="1"/>
  <c r="G118" i="12"/>
  <c r="E26" i="14"/>
  <c r="E49" i="14" s="1"/>
  <c r="F83" i="11"/>
  <c r="F36" i="18"/>
  <c r="F64" i="18" s="1"/>
  <c r="G97" i="12"/>
  <c r="C65" i="13"/>
  <c r="E200" i="13" s="1"/>
  <c r="E68" i="13"/>
  <c r="H217" i="17"/>
  <c r="H150" i="17"/>
  <c r="H35" i="17"/>
  <c r="H88" i="17" s="1"/>
  <c r="H104" i="12"/>
  <c r="I35" i="17" s="1"/>
  <c r="I88" i="17" s="1"/>
  <c r="F270" i="13"/>
  <c r="F216" i="13"/>
  <c r="I161" i="17"/>
  <c r="I228" i="17"/>
  <c r="G20" i="18"/>
  <c r="G51" i="18" s="1"/>
  <c r="H81" i="12"/>
  <c r="H20" i="18" s="1"/>
  <c r="H51" i="18" s="1"/>
  <c r="G39" i="6"/>
  <c r="D13" i="7"/>
  <c r="F14" i="18"/>
  <c r="G75" i="12"/>
  <c r="K59" i="16"/>
  <c r="K35" i="6"/>
  <c r="H11" i="7"/>
  <c r="H275" i="13"/>
  <c r="H224" i="13"/>
  <c r="F39" i="14"/>
  <c r="H154" i="14" s="1"/>
  <c r="G237" i="17"/>
  <c r="G170" i="17"/>
  <c r="E24" i="14"/>
  <c r="E47" i="14" s="1"/>
  <c r="F81" i="11"/>
  <c r="G47" i="11"/>
  <c r="G16" i="13" s="1"/>
  <c r="G73" i="13" s="1"/>
  <c r="G125" i="13" s="1"/>
  <c r="E178" i="13"/>
  <c r="E285" i="13"/>
  <c r="E284" i="13"/>
  <c r="G51" i="17"/>
  <c r="G104" i="17" s="1"/>
  <c r="H172" i="17" s="1"/>
  <c r="G120" i="12"/>
  <c r="F11" i="13"/>
  <c r="H156" i="17"/>
  <c r="H223" i="17"/>
  <c r="E62" i="14"/>
  <c r="G139" i="14" s="1"/>
  <c r="G152" i="14"/>
  <c r="E63" i="14"/>
  <c r="F16" i="18"/>
  <c r="F47" i="18" s="1"/>
  <c r="G77" i="12"/>
  <c r="E25" i="14"/>
  <c r="E48" i="14" s="1"/>
  <c r="F82" i="11"/>
  <c r="G42" i="17"/>
  <c r="G95" i="17" s="1"/>
  <c r="G111" i="12"/>
  <c r="E45" i="18"/>
  <c r="H55" i="17"/>
  <c r="H108" i="17" s="1"/>
  <c r="H124" i="12"/>
  <c r="I55" i="17" s="1"/>
  <c r="I108" i="17" s="1"/>
  <c r="G21" i="17"/>
  <c r="G74" i="17" s="1"/>
  <c r="G107" i="11"/>
  <c r="H27" i="17"/>
  <c r="H80" i="17" s="1"/>
  <c r="H113" i="11"/>
  <c r="I27" i="17" s="1"/>
  <c r="I80" i="17" s="1"/>
  <c r="F247" i="17"/>
  <c r="F184" i="17"/>
  <c r="E69" i="14"/>
  <c r="E70" i="14"/>
  <c r="G238" i="13"/>
  <c r="G183" i="13"/>
  <c r="E138" i="14" l="1"/>
  <c r="E160" i="14"/>
  <c r="F160" i="14"/>
  <c r="G92" i="13"/>
  <c r="G144" i="13" s="1"/>
  <c r="F61" i="13"/>
  <c r="E161" i="14"/>
  <c r="H13" i="14"/>
  <c r="H36" i="14" s="1"/>
  <c r="D12" i="14"/>
  <c r="F159" i="14"/>
  <c r="G153" i="14"/>
  <c r="G23" i="14"/>
  <c r="H79" i="11"/>
  <c r="H22" i="14" s="1"/>
  <c r="G22" i="14"/>
  <c r="G116" i="17"/>
  <c r="G114" i="17"/>
  <c r="G115" i="17"/>
  <c r="G18" i="18"/>
  <c r="G49" i="18" s="1"/>
  <c r="H79" i="12"/>
  <c r="H18" i="18" s="1"/>
  <c r="H49" i="18" s="1"/>
  <c r="I159" i="17"/>
  <c r="I226" i="17"/>
  <c r="H51" i="12"/>
  <c r="H40" i="13" s="1"/>
  <c r="H97" i="13" s="1"/>
  <c r="H149" i="13" s="1"/>
  <c r="H208" i="13"/>
  <c r="H262" i="13"/>
  <c r="J159" i="17"/>
  <c r="J226" i="17"/>
  <c r="C171" i="10"/>
  <c r="C156" i="10"/>
  <c r="C36" i="10"/>
  <c r="C126" i="10"/>
  <c r="E229" i="13"/>
  <c r="F36" i="6" s="1"/>
  <c r="G254" i="17"/>
  <c r="F34" i="6"/>
  <c r="I239" i="13"/>
  <c r="I184" i="13"/>
  <c r="F191" i="17"/>
  <c r="D12" i="7" s="1"/>
  <c r="J239" i="13"/>
  <c r="G15" i="6"/>
  <c r="H6" i="6" s="1"/>
  <c r="G183" i="17"/>
  <c r="G253" i="17"/>
  <c r="E262" i="17"/>
  <c r="E274" i="17" s="1"/>
  <c r="E276" i="17" s="1"/>
  <c r="G6" i="6"/>
  <c r="F259" i="17" s="1"/>
  <c r="O58" i="4"/>
  <c r="P55" i="4" s="1"/>
  <c r="P56" i="4" s="1"/>
  <c r="P57" i="4" s="1"/>
  <c r="E16" i="6"/>
  <c r="D290" i="13" s="1"/>
  <c r="D292" i="13" s="1"/>
  <c r="O64" i="4"/>
  <c r="P61" i="4" s="1"/>
  <c r="P62" i="4" s="1"/>
  <c r="P63" i="4" s="1"/>
  <c r="N45" i="4"/>
  <c r="O44" i="4"/>
  <c r="O46" i="4" s="1"/>
  <c r="P43" i="4" s="1"/>
  <c r="I215" i="17"/>
  <c r="I148" i="17"/>
  <c r="E282" i="13"/>
  <c r="E283" i="13"/>
  <c r="I275" i="13"/>
  <c r="I224" i="13"/>
  <c r="G270" i="13"/>
  <c r="G216" i="13"/>
  <c r="G247" i="13"/>
  <c r="G192" i="13"/>
  <c r="G249" i="13"/>
  <c r="G194" i="13"/>
  <c r="J157" i="17"/>
  <c r="J224" i="17"/>
  <c r="H236" i="13"/>
  <c r="H181" i="13"/>
  <c r="F24" i="18"/>
  <c r="F55" i="18" s="1"/>
  <c r="G85" i="12"/>
  <c r="H45" i="17"/>
  <c r="H98" i="17" s="1"/>
  <c r="H114" i="12"/>
  <c r="I45" i="17" s="1"/>
  <c r="I98" i="17" s="1"/>
  <c r="G55" i="12"/>
  <c r="G44" i="13" s="1"/>
  <c r="G101" i="13" s="1"/>
  <c r="G153" i="13" s="1"/>
  <c r="H39" i="6"/>
  <c r="E13" i="7"/>
  <c r="J160" i="17"/>
  <c r="J227" i="17"/>
  <c r="H47" i="12"/>
  <c r="H36" i="13" s="1"/>
  <c r="H93" i="13" s="1"/>
  <c r="H145" i="13" s="1"/>
  <c r="G31" i="14"/>
  <c r="G54" i="14" s="1"/>
  <c r="H88" i="11"/>
  <c r="H31" i="14" s="1"/>
  <c r="H54" i="14" s="1"/>
  <c r="F21" i="13"/>
  <c r="F78" i="13" s="1"/>
  <c r="F46" i="14" s="1"/>
  <c r="G52" i="11"/>
  <c r="G36" i="18"/>
  <c r="G64" i="18" s="1"/>
  <c r="H97" i="12"/>
  <c r="H36" i="18" s="1"/>
  <c r="H64" i="18" s="1"/>
  <c r="J275" i="13"/>
  <c r="J224" i="13"/>
  <c r="J150" i="17"/>
  <c r="J217" i="17"/>
  <c r="G44" i="14"/>
  <c r="H44" i="14"/>
  <c r="F25" i="18"/>
  <c r="F56" i="18" s="1"/>
  <c r="G86" i="12"/>
  <c r="H241" i="13"/>
  <c r="H186" i="13"/>
  <c r="I157" i="17"/>
  <c r="I224" i="17"/>
  <c r="H49" i="12"/>
  <c r="H38" i="13" s="1"/>
  <c r="H95" i="13" s="1"/>
  <c r="H147" i="13" s="1"/>
  <c r="H166" i="17"/>
  <c r="H233" i="17"/>
  <c r="G57" i="12"/>
  <c r="G46" i="13" s="1"/>
  <c r="G103" i="13" s="1"/>
  <c r="G155" i="13" s="1"/>
  <c r="G266" i="13"/>
  <c r="G212" i="13"/>
  <c r="H53" i="17"/>
  <c r="H106" i="17" s="1"/>
  <c r="I174" i="17" s="1"/>
  <c r="H122" i="12"/>
  <c r="I53" i="17" s="1"/>
  <c r="I106" i="17" s="1"/>
  <c r="I160" i="17"/>
  <c r="I227" i="17"/>
  <c r="D42" i="18"/>
  <c r="D12" i="18"/>
  <c r="G243" i="13"/>
  <c r="E130" i="13"/>
  <c r="G188" i="13" s="1"/>
  <c r="F29" i="14"/>
  <c r="F52" i="14" s="1"/>
  <c r="G86" i="11"/>
  <c r="I150" i="17"/>
  <c r="I217" i="17"/>
  <c r="H50" i="11"/>
  <c r="H19" i="13" s="1"/>
  <c r="H76" i="13" s="1"/>
  <c r="H128" i="13" s="1"/>
  <c r="F45" i="14"/>
  <c r="J149" i="17"/>
  <c r="J216" i="17"/>
  <c r="H260" i="13"/>
  <c r="H206" i="13"/>
  <c r="G60" i="12"/>
  <c r="G49" i="13" s="1"/>
  <c r="G106" i="13" s="1"/>
  <c r="G158" i="13" s="1"/>
  <c r="G268" i="13"/>
  <c r="G214" i="13"/>
  <c r="H62" i="11"/>
  <c r="H31" i="13" s="1"/>
  <c r="H88" i="13" s="1"/>
  <c r="H140" i="13" s="1"/>
  <c r="J134" i="17"/>
  <c r="J201" i="17"/>
  <c r="F33" i="18"/>
  <c r="G94" i="12"/>
  <c r="G33" i="18" s="1"/>
  <c r="G63" i="12"/>
  <c r="G52" i="13" s="1"/>
  <c r="G109" i="13" s="1"/>
  <c r="G161" i="13" s="1"/>
  <c r="G37" i="18"/>
  <c r="G65" i="18" s="1"/>
  <c r="H98" i="12"/>
  <c r="H37" i="18" s="1"/>
  <c r="H65" i="18" s="1"/>
  <c r="H18" i="17"/>
  <c r="H71" i="17" s="1"/>
  <c r="H104" i="11"/>
  <c r="I18" i="17" s="1"/>
  <c r="I71" i="17" s="1"/>
  <c r="H50" i="17"/>
  <c r="H103" i="17" s="1"/>
  <c r="H119" i="12"/>
  <c r="I50" i="17" s="1"/>
  <c r="I103" i="17" s="1"/>
  <c r="J204" i="17"/>
  <c r="J137" i="17"/>
  <c r="F26" i="14"/>
  <c r="F49" i="14" s="1"/>
  <c r="G83" i="11"/>
  <c r="J222" i="17"/>
  <c r="J155" i="17"/>
  <c r="F27" i="18"/>
  <c r="F58" i="18" s="1"/>
  <c r="G88" i="12"/>
  <c r="I149" i="17"/>
  <c r="I216" i="17"/>
  <c r="H44" i="17"/>
  <c r="H97" i="17" s="1"/>
  <c r="H113" i="12"/>
  <c r="I44" i="17" s="1"/>
  <c r="I97" i="17" s="1"/>
  <c r="J135" i="17"/>
  <c r="J202" i="17"/>
  <c r="G271" i="13"/>
  <c r="G217" i="13"/>
  <c r="H253" i="13"/>
  <c r="H198" i="13"/>
  <c r="I134" i="17"/>
  <c r="I201" i="17"/>
  <c r="H24" i="17"/>
  <c r="H77" i="17" s="1"/>
  <c r="H110" i="11"/>
  <c r="I24" i="17" s="1"/>
  <c r="I77" i="17" s="1"/>
  <c r="G274" i="13"/>
  <c r="G220" i="13"/>
  <c r="H206" i="17"/>
  <c r="H139" i="17"/>
  <c r="H238" i="17"/>
  <c r="H171" i="17"/>
  <c r="I204" i="17"/>
  <c r="I137" i="17"/>
  <c r="G187" i="17"/>
  <c r="G250" i="17"/>
  <c r="I222" i="17"/>
  <c r="I155" i="17"/>
  <c r="J178" i="17"/>
  <c r="J242" i="17"/>
  <c r="H232" i="17"/>
  <c r="H165" i="17"/>
  <c r="I135" i="17"/>
  <c r="I202" i="17"/>
  <c r="H54" i="12"/>
  <c r="H43" i="13" s="1"/>
  <c r="H100" i="13" s="1"/>
  <c r="H152" i="13" s="1"/>
  <c r="H235" i="13"/>
  <c r="H180" i="13"/>
  <c r="J200" i="17"/>
  <c r="J133" i="17"/>
  <c r="H212" i="17"/>
  <c r="H145" i="17"/>
  <c r="G188" i="17"/>
  <c r="G251" i="17"/>
  <c r="G55" i="11"/>
  <c r="G24" i="13" s="1"/>
  <c r="G81" i="13" s="1"/>
  <c r="G133" i="13" s="1"/>
  <c r="H52" i="12"/>
  <c r="H41" i="13" s="1"/>
  <c r="H98" i="13" s="1"/>
  <c r="H150" i="13" s="1"/>
  <c r="H22" i="17"/>
  <c r="H75" i="17" s="1"/>
  <c r="H108" i="11"/>
  <c r="I22" i="17" s="1"/>
  <c r="I75" i="17" s="1"/>
  <c r="H48" i="17"/>
  <c r="H101" i="17" s="1"/>
  <c r="H117" i="12"/>
  <c r="I48" i="17" s="1"/>
  <c r="I101" i="17" s="1"/>
  <c r="E145" i="14"/>
  <c r="E39" i="18"/>
  <c r="F68" i="13"/>
  <c r="H48" i="12"/>
  <c r="H37" i="13" s="1"/>
  <c r="H94" i="13" s="1"/>
  <c r="H146" i="13" s="1"/>
  <c r="I51" i="4"/>
  <c r="N50" i="4"/>
  <c r="I178" i="17"/>
  <c r="I242" i="17"/>
  <c r="G43" i="14"/>
  <c r="H43" i="14"/>
  <c r="H46" i="11"/>
  <c r="H15" i="13" s="1"/>
  <c r="H72" i="13" s="1"/>
  <c r="H124" i="13" s="1"/>
  <c r="H265" i="13"/>
  <c r="H211" i="13"/>
  <c r="H44" i="11"/>
  <c r="H13" i="13" s="1"/>
  <c r="H70" i="13" s="1"/>
  <c r="H122" i="13" s="1"/>
  <c r="I200" i="17"/>
  <c r="I133" i="17"/>
  <c r="F26" i="18"/>
  <c r="F57" i="18" s="1"/>
  <c r="G87" i="12"/>
  <c r="F31" i="18"/>
  <c r="G92" i="12"/>
  <c r="G31" i="18" s="1"/>
  <c r="G191" i="13"/>
  <c r="G246" i="13"/>
  <c r="H263" i="13"/>
  <c r="H209" i="13"/>
  <c r="H210" i="17"/>
  <c r="H143" i="17"/>
  <c r="H169" i="17"/>
  <c r="H236" i="17"/>
  <c r="E157" i="14"/>
  <c r="E158" i="14"/>
  <c r="I35" i="10"/>
  <c r="I140" i="10"/>
  <c r="I155" i="10"/>
  <c r="I170" i="10"/>
  <c r="I125" i="10"/>
  <c r="F62" i="14"/>
  <c r="H139" i="14" s="1"/>
  <c r="H152" i="14"/>
  <c r="F63" i="14"/>
  <c r="H49" i="17"/>
  <c r="H102" i="17" s="1"/>
  <c r="H118" i="12"/>
  <c r="I49" i="17" s="1"/>
  <c r="I102" i="17" s="1"/>
  <c r="H259" i="13"/>
  <c r="H205" i="13"/>
  <c r="H237" i="13"/>
  <c r="H182" i="13"/>
  <c r="F29" i="18"/>
  <c r="F60" i="18" s="1"/>
  <c r="G90" i="12"/>
  <c r="G273" i="13"/>
  <c r="G219" i="13"/>
  <c r="G247" i="17"/>
  <c r="G184" i="17"/>
  <c r="G12" i="13"/>
  <c r="G69" i="13" s="1"/>
  <c r="G37" i="14" s="1"/>
  <c r="H43" i="11"/>
  <c r="H12" i="13" s="1"/>
  <c r="H69" i="13" s="1"/>
  <c r="H37" i="14" s="1"/>
  <c r="G39" i="14"/>
  <c r="I154" i="14" s="1"/>
  <c r="H39" i="14"/>
  <c r="J154" i="14" s="1"/>
  <c r="J156" i="17"/>
  <c r="J223" i="17"/>
  <c r="H170" i="17"/>
  <c r="H237" i="17"/>
  <c r="H20" i="17"/>
  <c r="H73" i="17" s="1"/>
  <c r="H106" i="11"/>
  <c r="I20" i="17" s="1"/>
  <c r="I73" i="17" s="1"/>
  <c r="J131" i="17"/>
  <c r="J198" i="17"/>
  <c r="H46" i="12"/>
  <c r="H35" i="13" s="1"/>
  <c r="J162" i="17"/>
  <c r="J229" i="17"/>
  <c r="B8" i="7"/>
  <c r="E36" i="6"/>
  <c r="H49" i="11"/>
  <c r="H18" i="13" s="1"/>
  <c r="H75" i="13" s="1"/>
  <c r="H127" i="13" s="1"/>
  <c r="G62" i="12"/>
  <c r="G51" i="13" s="1"/>
  <c r="G108" i="13" s="1"/>
  <c r="G160" i="13" s="1"/>
  <c r="F28" i="18"/>
  <c r="F59" i="18" s="1"/>
  <c r="G89" i="12"/>
  <c r="H234" i="13"/>
  <c r="F121" i="13"/>
  <c r="H179" i="13" s="1"/>
  <c r="D36" i="10"/>
  <c r="D141" i="10"/>
  <c r="D156" i="10"/>
  <c r="D171" i="10"/>
  <c r="D126" i="10"/>
  <c r="I131" i="17"/>
  <c r="I198" i="17"/>
  <c r="J163" i="18"/>
  <c r="H124" i="18"/>
  <c r="H141" i="18" s="1"/>
  <c r="J167" i="18"/>
  <c r="H126" i="18"/>
  <c r="H143" i="18" s="1"/>
  <c r="J164" i="18"/>
  <c r="H125" i="18"/>
  <c r="H142" i="18" s="1"/>
  <c r="I162" i="17"/>
  <c r="I229" i="17"/>
  <c r="H47" i="17"/>
  <c r="H100" i="17" s="1"/>
  <c r="H116" i="12"/>
  <c r="I47" i="17" s="1"/>
  <c r="I100" i="17" s="1"/>
  <c r="J252" i="13"/>
  <c r="G41" i="14"/>
  <c r="H41" i="14"/>
  <c r="H240" i="13"/>
  <c r="H185" i="13"/>
  <c r="G30" i="14"/>
  <c r="G53" i="14" s="1"/>
  <c r="H87" i="11"/>
  <c r="H30" i="14" s="1"/>
  <c r="H53" i="14" s="1"/>
  <c r="F57" i="14"/>
  <c r="H140" i="14" s="1"/>
  <c r="H251" i="13"/>
  <c r="H196" i="13"/>
  <c r="J130" i="17"/>
  <c r="J197" i="17"/>
  <c r="J132" i="17"/>
  <c r="J199" i="17"/>
  <c r="F25" i="14"/>
  <c r="F48" i="14" s="1"/>
  <c r="G82" i="11"/>
  <c r="G14" i="18"/>
  <c r="H75" i="12"/>
  <c r="H14" i="18" s="1"/>
  <c r="D65" i="13"/>
  <c r="F200" i="13" s="1"/>
  <c r="G35" i="18"/>
  <c r="G63" i="18" s="1"/>
  <c r="H96" i="12"/>
  <c r="H35" i="18" s="1"/>
  <c r="H63" i="18" s="1"/>
  <c r="F178" i="13"/>
  <c r="F285" i="13"/>
  <c r="F284" i="13"/>
  <c r="I163" i="18"/>
  <c r="G124" i="18"/>
  <c r="G141" i="18" s="1"/>
  <c r="I167" i="18"/>
  <c r="G126" i="18"/>
  <c r="G143" i="18" s="1"/>
  <c r="I156" i="18" s="1"/>
  <c r="I164" i="18"/>
  <c r="G125" i="18"/>
  <c r="G142" i="18" s="1"/>
  <c r="I155" i="18" s="1"/>
  <c r="H168" i="17"/>
  <c r="H235" i="17"/>
  <c r="I252" i="13"/>
  <c r="I197" i="13"/>
  <c r="F77" i="14"/>
  <c r="F78" i="14"/>
  <c r="G54" i="11"/>
  <c r="G23" i="13" s="1"/>
  <c r="G80" i="13" s="1"/>
  <c r="G132" i="13" s="1"/>
  <c r="F156" i="14"/>
  <c r="E165" i="18"/>
  <c r="E166" i="18"/>
  <c r="H60" i="11"/>
  <c r="H29" i="13" s="1"/>
  <c r="H86" i="13" s="1"/>
  <c r="H138" i="13" s="1"/>
  <c r="I130" i="17"/>
  <c r="I197" i="17"/>
  <c r="I132" i="17"/>
  <c r="I199" i="17"/>
  <c r="H23" i="17"/>
  <c r="H76" i="17" s="1"/>
  <c r="H109" i="11"/>
  <c r="I23" i="17" s="1"/>
  <c r="I76" i="17" s="1"/>
  <c r="J176" i="17"/>
  <c r="J240" i="17"/>
  <c r="F45" i="18"/>
  <c r="J158" i="17"/>
  <c r="J225" i="17"/>
  <c r="H25" i="17"/>
  <c r="H78" i="17" s="1"/>
  <c r="H111" i="11"/>
  <c r="I25" i="17" s="1"/>
  <c r="I78" i="17" s="1"/>
  <c r="H46" i="17"/>
  <c r="H99" i="17" s="1"/>
  <c r="H115" i="12"/>
  <c r="I46" i="17" s="1"/>
  <c r="I99" i="17" s="1"/>
  <c r="G245" i="13"/>
  <c r="G190" i="13"/>
  <c r="E94" i="14"/>
  <c r="G138" i="14" s="1"/>
  <c r="E95" i="14"/>
  <c r="G143" i="14" s="1"/>
  <c r="G151" i="14"/>
  <c r="H68" i="12"/>
  <c r="H57" i="13" s="1"/>
  <c r="H114" i="13" s="1"/>
  <c r="H166" i="13" s="1"/>
  <c r="G51" i="11"/>
  <c r="G20" i="13" s="1"/>
  <c r="G77" i="13" s="1"/>
  <c r="G129" i="13" s="1"/>
  <c r="G61" i="12"/>
  <c r="G50" i="13" s="1"/>
  <c r="G107" i="13" s="1"/>
  <c r="G159" i="13" s="1"/>
  <c r="H211" i="17"/>
  <c r="H144" i="17"/>
  <c r="E172" i="10"/>
  <c r="E127" i="10"/>
  <c r="E37" i="10"/>
  <c r="E142" i="10"/>
  <c r="E157" i="10"/>
  <c r="G233" i="13"/>
  <c r="E120" i="13"/>
  <c r="J241" i="17"/>
  <c r="J177" i="17"/>
  <c r="G269" i="13"/>
  <c r="G215" i="13"/>
  <c r="F32" i="18"/>
  <c r="G93" i="12"/>
  <c r="G32" i="18" s="1"/>
  <c r="G17" i="18"/>
  <c r="G48" i="18" s="1"/>
  <c r="H78" i="12"/>
  <c r="H17" i="18" s="1"/>
  <c r="H48" i="18" s="1"/>
  <c r="I158" i="17"/>
  <c r="I225" i="17"/>
  <c r="H213" i="17"/>
  <c r="H146" i="17"/>
  <c r="H167" i="17"/>
  <c r="H234" i="17"/>
  <c r="H70" i="12"/>
  <c r="H59" i="13" s="1"/>
  <c r="H116" i="13" s="1"/>
  <c r="H168" i="13" s="1"/>
  <c r="E32" i="14"/>
  <c r="E18" i="6"/>
  <c r="E141" i="14" s="1"/>
  <c r="G267" i="13"/>
  <c r="G213" i="13"/>
  <c r="H276" i="13"/>
  <c r="H225" i="13"/>
  <c r="G242" i="13"/>
  <c r="G187" i="13"/>
  <c r="G272" i="13"/>
  <c r="G218" i="13"/>
  <c r="I176" i="17"/>
  <c r="I240" i="17"/>
  <c r="H208" i="17"/>
  <c r="H141" i="17"/>
  <c r="G182" i="17"/>
  <c r="G245" i="17"/>
  <c r="H238" i="13"/>
  <c r="H183" i="13"/>
  <c r="E33" i="13"/>
  <c r="E10" i="13" s="1"/>
  <c r="F23" i="18"/>
  <c r="F54" i="18" s="1"/>
  <c r="G84" i="12"/>
  <c r="I241" i="17"/>
  <c r="I177" i="17"/>
  <c r="G58" i="12"/>
  <c r="G47" i="13" s="1"/>
  <c r="G104" i="13" s="1"/>
  <c r="G156" i="13" s="1"/>
  <c r="H59" i="11"/>
  <c r="H28" i="13" s="1"/>
  <c r="H85" i="13" s="1"/>
  <c r="H137" i="13" s="1"/>
  <c r="F161" i="14"/>
  <c r="G257" i="13"/>
  <c r="G203" i="13"/>
  <c r="H50" i="12"/>
  <c r="H39" i="13" s="1"/>
  <c r="H96" i="13" s="1"/>
  <c r="H148" i="13" s="1"/>
  <c r="F27" i="14"/>
  <c r="F50" i="14" s="1"/>
  <c r="G84" i="11"/>
  <c r="H278" i="13"/>
  <c r="H227" i="13"/>
  <c r="H52" i="17"/>
  <c r="H105" i="17" s="1"/>
  <c r="I173" i="17" s="1"/>
  <c r="H121" i="12"/>
  <c r="I52" i="17" s="1"/>
  <c r="I105" i="17" s="1"/>
  <c r="G56" i="12"/>
  <c r="G45" i="13" s="1"/>
  <c r="G102" i="13" s="1"/>
  <c r="G154" i="13" s="1"/>
  <c r="G118" i="17"/>
  <c r="G38" i="14"/>
  <c r="H38" i="14"/>
  <c r="G21" i="18"/>
  <c r="G52" i="18" s="1"/>
  <c r="H82" i="12"/>
  <c r="H21" i="18" s="1"/>
  <c r="H52" i="18" s="1"/>
  <c r="G15" i="18"/>
  <c r="G46" i="18" s="1"/>
  <c r="H76" i="12"/>
  <c r="H15" i="18" s="1"/>
  <c r="H46" i="18" s="1"/>
  <c r="H209" i="17"/>
  <c r="H142" i="17"/>
  <c r="H51" i="17"/>
  <c r="H104" i="17" s="1"/>
  <c r="I172" i="17" s="1"/>
  <c r="H120" i="12"/>
  <c r="I51" i="17" s="1"/>
  <c r="I104" i="17" s="1"/>
  <c r="J172" i="17" s="1"/>
  <c r="I156" i="17"/>
  <c r="I223" i="17"/>
  <c r="G16" i="18"/>
  <c r="G47" i="18" s="1"/>
  <c r="H77" i="12"/>
  <c r="H16" i="18" s="1"/>
  <c r="H47" i="18" s="1"/>
  <c r="H47" i="11"/>
  <c r="H16" i="13" s="1"/>
  <c r="H73" i="13" s="1"/>
  <c r="H125" i="13" s="1"/>
  <c r="G53" i="11"/>
  <c r="G22" i="13" s="1"/>
  <c r="G79" i="13" s="1"/>
  <c r="G131" i="13" s="1"/>
  <c r="H154" i="18"/>
  <c r="H159" i="18" s="1"/>
  <c r="H168" i="18"/>
  <c r="H169" i="18"/>
  <c r="H250" i="13"/>
  <c r="H195" i="13"/>
  <c r="F22" i="18"/>
  <c r="F53" i="18" s="1"/>
  <c r="G83" i="12"/>
  <c r="H261" i="13"/>
  <c r="H207" i="13"/>
  <c r="H43" i="17"/>
  <c r="H96" i="17" s="1"/>
  <c r="H112" i="12"/>
  <c r="I43" i="17" s="1"/>
  <c r="I96" i="17" s="1"/>
  <c r="H277" i="13"/>
  <c r="H226" i="13"/>
  <c r="G11" i="13"/>
  <c r="H11" i="13"/>
  <c r="H163" i="17"/>
  <c r="H230" i="17"/>
  <c r="G19" i="18"/>
  <c r="G50" i="18" s="1"/>
  <c r="H80" i="12"/>
  <c r="H19" i="18" s="1"/>
  <c r="H50" i="18" s="1"/>
  <c r="F24" i="14"/>
  <c r="F47" i="14" s="1"/>
  <c r="G81" i="11"/>
  <c r="G40" i="14"/>
  <c r="H40" i="14"/>
  <c r="F30" i="18"/>
  <c r="F61" i="18" s="1"/>
  <c r="G91" i="12"/>
  <c r="G189" i="13"/>
  <c r="G244" i="13"/>
  <c r="J264" i="13"/>
  <c r="G49" i="4"/>
  <c r="G57" i="11"/>
  <c r="G26" i="13" s="1"/>
  <c r="G83" i="13" s="1"/>
  <c r="G135" i="13" s="1"/>
  <c r="J154" i="17"/>
  <c r="J221" i="17"/>
  <c r="H164" i="17"/>
  <c r="H231" i="17"/>
  <c r="H69" i="12"/>
  <c r="H58" i="13" s="1"/>
  <c r="H115" i="13" s="1"/>
  <c r="H167" i="13" s="1"/>
  <c r="H19" i="17"/>
  <c r="H72" i="17" s="1"/>
  <c r="H105" i="11"/>
  <c r="I19" i="17" s="1"/>
  <c r="I72" i="17" s="1"/>
  <c r="F28" i="14"/>
  <c r="F51" i="14" s="1"/>
  <c r="G85" i="11"/>
  <c r="H21" i="17"/>
  <c r="H74" i="17" s="1"/>
  <c r="H107" i="11"/>
  <c r="I21" i="17" s="1"/>
  <c r="I74" i="17" s="1"/>
  <c r="F69" i="14"/>
  <c r="F70" i="14"/>
  <c r="H42" i="17"/>
  <c r="H95" i="17" s="1"/>
  <c r="H111" i="12"/>
  <c r="I42" i="17" s="1"/>
  <c r="I95" i="17" s="1"/>
  <c r="J215" i="17"/>
  <c r="J148" i="17"/>
  <c r="G59" i="12"/>
  <c r="G48" i="13" s="1"/>
  <c r="G105" i="13" s="1"/>
  <c r="G157" i="13" s="1"/>
  <c r="G56" i="11"/>
  <c r="G25" i="13" s="1"/>
  <c r="G82" i="13" s="1"/>
  <c r="G134" i="13" s="1"/>
  <c r="I210" i="13"/>
  <c r="I264" i="13"/>
  <c r="G58" i="11"/>
  <c r="G27" i="13" s="1"/>
  <c r="G84" i="13" s="1"/>
  <c r="G136" i="13" s="1"/>
  <c r="G248" i="13"/>
  <c r="G193" i="13"/>
  <c r="H45" i="11"/>
  <c r="H14" i="13" s="1"/>
  <c r="H71" i="13" s="1"/>
  <c r="H123" i="13" s="1"/>
  <c r="I154" i="17"/>
  <c r="I221" i="17"/>
  <c r="H258" i="13"/>
  <c r="H204" i="13"/>
  <c r="G119" i="17"/>
  <c r="H207" i="17"/>
  <c r="H140" i="17"/>
  <c r="G160" i="14" l="1"/>
  <c r="E147" i="14"/>
  <c r="H92" i="13"/>
  <c r="H144" i="13" s="1"/>
  <c r="G61" i="13"/>
  <c r="H23" i="14"/>
  <c r="E12" i="14"/>
  <c r="G159" i="14"/>
  <c r="D158" i="14"/>
  <c r="D159" i="14"/>
  <c r="D151" i="14"/>
  <c r="H153" i="14"/>
  <c r="B95" i="14"/>
  <c r="D143" i="14" s="1"/>
  <c r="B94" i="14"/>
  <c r="H114" i="17"/>
  <c r="H116" i="17"/>
  <c r="I116" i="17"/>
  <c r="H115" i="17"/>
  <c r="I114" i="17"/>
  <c r="J173" i="17"/>
  <c r="I262" i="13"/>
  <c r="I208" i="13"/>
  <c r="I115" i="17"/>
  <c r="J262" i="13"/>
  <c r="J184" i="13"/>
  <c r="F9" i="6"/>
  <c r="E174" i="18" s="1"/>
  <c r="D175" i="18"/>
  <c r="D177" i="18" s="1"/>
  <c r="E52" i="6" s="1"/>
  <c r="F260" i="17"/>
  <c r="F262" i="17" s="1"/>
  <c r="C8" i="7"/>
  <c r="D137" i="10" s="1"/>
  <c r="G34" i="6"/>
  <c r="G191" i="17"/>
  <c r="H34" i="6" s="1"/>
  <c r="F47" i="6"/>
  <c r="C22" i="7"/>
  <c r="H15" i="6"/>
  <c r="I6" i="6" s="1"/>
  <c r="I118" i="17"/>
  <c r="J250" i="17" s="1"/>
  <c r="H254" i="17"/>
  <c r="F7" i="6"/>
  <c r="E289" i="13" s="1"/>
  <c r="P58" i="4"/>
  <c r="Q55" i="4" s="1"/>
  <c r="Q56" i="4" s="1"/>
  <c r="Q57" i="4" s="1"/>
  <c r="P64" i="4"/>
  <c r="Q61" i="4" s="1"/>
  <c r="Q62" i="4" s="1"/>
  <c r="Q63" i="4" s="1"/>
  <c r="F18" i="6"/>
  <c r="F141" i="14" s="1"/>
  <c r="N51" i="4"/>
  <c r="O45" i="4"/>
  <c r="H247" i="13"/>
  <c r="H192" i="13"/>
  <c r="I207" i="17"/>
  <c r="I140" i="17"/>
  <c r="H183" i="17"/>
  <c r="H246" i="17"/>
  <c r="I238" i="13"/>
  <c r="I183" i="13"/>
  <c r="J278" i="13"/>
  <c r="I146" i="17"/>
  <c r="I213" i="17"/>
  <c r="I240" i="13"/>
  <c r="I185" i="13"/>
  <c r="N52" i="4"/>
  <c r="J165" i="17"/>
  <c r="J232" i="17"/>
  <c r="I238" i="17"/>
  <c r="I171" i="17"/>
  <c r="H271" i="13"/>
  <c r="H217" i="13"/>
  <c r="I260" i="13"/>
  <c r="I206" i="13"/>
  <c r="G21" i="13"/>
  <c r="G78" i="13" s="1"/>
  <c r="G46" i="14" s="1"/>
  <c r="H52" i="11"/>
  <c r="H21" i="13" s="1"/>
  <c r="H78" i="13" s="1"/>
  <c r="G24" i="18"/>
  <c r="G55" i="18" s="1"/>
  <c r="H85" i="12"/>
  <c r="H24" i="18" s="1"/>
  <c r="H55" i="18" s="1"/>
  <c r="J238" i="13"/>
  <c r="I278" i="13"/>
  <c r="I227" i="13"/>
  <c r="F282" i="13"/>
  <c r="F283" i="13"/>
  <c r="I119" i="17"/>
  <c r="J168" i="17"/>
  <c r="J235" i="17"/>
  <c r="D302" i="13"/>
  <c r="D305" i="13" s="1"/>
  <c r="D307" i="13" s="1"/>
  <c r="B18" i="7"/>
  <c r="E49" i="6"/>
  <c r="H257" i="13"/>
  <c r="H203" i="13"/>
  <c r="J169" i="17"/>
  <c r="J236" i="17"/>
  <c r="I165" i="17"/>
  <c r="I232" i="17"/>
  <c r="J139" i="17"/>
  <c r="J206" i="17"/>
  <c r="H243" i="13"/>
  <c r="F130" i="13"/>
  <c r="H188" i="13" s="1"/>
  <c r="J250" i="13"/>
  <c r="H272" i="13"/>
  <c r="H218" i="13"/>
  <c r="H119" i="17"/>
  <c r="H45" i="18"/>
  <c r="I168" i="17"/>
  <c r="I235" i="17"/>
  <c r="J235" i="13"/>
  <c r="I169" i="17"/>
  <c r="I236" i="17"/>
  <c r="I265" i="13"/>
  <c r="I211" i="13"/>
  <c r="I139" i="17"/>
  <c r="I206" i="17"/>
  <c r="J164" i="17"/>
  <c r="J231" i="17"/>
  <c r="I250" i="13"/>
  <c r="I195" i="13"/>
  <c r="H61" i="12"/>
  <c r="H50" i="13" s="1"/>
  <c r="H107" i="13" s="1"/>
  <c r="H159" i="13" s="1"/>
  <c r="J251" i="13"/>
  <c r="G45" i="18"/>
  <c r="C32" i="10"/>
  <c r="C137" i="10"/>
  <c r="C152" i="10"/>
  <c r="C167" i="10"/>
  <c r="C122" i="10"/>
  <c r="H69" i="14"/>
  <c r="H70" i="14"/>
  <c r="F17" i="6"/>
  <c r="I235" i="13"/>
  <c r="I180" i="13"/>
  <c r="J143" i="17"/>
  <c r="J210" i="17"/>
  <c r="J265" i="13"/>
  <c r="F165" i="18"/>
  <c r="F166" i="18"/>
  <c r="H250" i="17"/>
  <c r="H187" i="17"/>
  <c r="H58" i="12"/>
  <c r="H47" i="13" s="1"/>
  <c r="H104" i="13" s="1"/>
  <c r="H156" i="13" s="1"/>
  <c r="H51" i="11"/>
  <c r="H20" i="13" s="1"/>
  <c r="H77" i="13" s="1"/>
  <c r="H129" i="13" s="1"/>
  <c r="F39" i="18"/>
  <c r="I251" i="13"/>
  <c r="I196" i="13"/>
  <c r="G25" i="14"/>
  <c r="G48" i="14" s="1"/>
  <c r="H82" i="11"/>
  <c r="H25" i="14" s="1"/>
  <c r="H48" i="14" s="1"/>
  <c r="G69" i="14"/>
  <c r="G70" i="14"/>
  <c r="I143" i="17"/>
  <c r="I210" i="17"/>
  <c r="G27" i="18"/>
  <c r="G58" i="18" s="1"/>
  <c r="H88" i="12"/>
  <c r="H27" i="18" s="1"/>
  <c r="H58" i="18" s="1"/>
  <c r="H247" i="17"/>
  <c r="H184" i="17"/>
  <c r="J163" i="17"/>
  <c r="J230" i="17"/>
  <c r="H56" i="12"/>
  <c r="H45" i="13" s="1"/>
  <c r="H102" i="13" s="1"/>
  <c r="H154" i="13" s="1"/>
  <c r="H269" i="13"/>
  <c r="H215" i="13"/>
  <c r="H242" i="13"/>
  <c r="H187" i="13"/>
  <c r="J155" i="18"/>
  <c r="J234" i="13"/>
  <c r="H121" i="13"/>
  <c r="H253" i="17"/>
  <c r="I263" i="13"/>
  <c r="I209" i="13"/>
  <c r="H63" i="12"/>
  <c r="H52" i="13" s="1"/>
  <c r="H109" i="13" s="1"/>
  <c r="H161" i="13" s="1"/>
  <c r="G45" i="14"/>
  <c r="H45" i="14"/>
  <c r="G25" i="18"/>
  <c r="G56" i="18" s="1"/>
  <c r="H86" i="12"/>
  <c r="H25" i="18" s="1"/>
  <c r="H56" i="18" s="1"/>
  <c r="J258" i="13"/>
  <c r="G178" i="13"/>
  <c r="G285" i="13"/>
  <c r="G284" i="13"/>
  <c r="I276" i="13"/>
  <c r="I225" i="13"/>
  <c r="I234" i="13"/>
  <c r="G121" i="13"/>
  <c r="I179" i="13" s="1"/>
  <c r="G161" i="14"/>
  <c r="I259" i="13"/>
  <c r="I205" i="13"/>
  <c r="J263" i="13"/>
  <c r="J145" i="17"/>
  <c r="J212" i="17"/>
  <c r="H220" i="13"/>
  <c r="H274" i="13"/>
  <c r="I204" i="13"/>
  <c r="I258" i="13"/>
  <c r="P44" i="4"/>
  <c r="H188" i="17"/>
  <c r="H251" i="17"/>
  <c r="I164" i="17"/>
  <c r="I231" i="17"/>
  <c r="G22" i="18"/>
  <c r="G53" i="18" s="1"/>
  <c r="H83" i="12"/>
  <c r="H22" i="18" s="1"/>
  <c r="H53" i="18" s="1"/>
  <c r="J276" i="13"/>
  <c r="F145" i="14"/>
  <c r="F32" i="14"/>
  <c r="J156" i="18"/>
  <c r="J259" i="13"/>
  <c r="H55" i="11"/>
  <c r="H24" i="13" s="1"/>
  <c r="H81" i="13" s="1"/>
  <c r="H133" i="13" s="1"/>
  <c r="I145" i="17"/>
  <c r="I212" i="17"/>
  <c r="J241" i="13"/>
  <c r="J174" i="17"/>
  <c r="G24" i="14"/>
  <c r="G47" i="14" s="1"/>
  <c r="H81" i="11"/>
  <c r="H24" i="14" s="1"/>
  <c r="H47" i="14" s="1"/>
  <c r="G23" i="18"/>
  <c r="G54" i="18" s="1"/>
  <c r="H84" i="12"/>
  <c r="H23" i="18" s="1"/>
  <c r="H54" i="18" s="1"/>
  <c r="J211" i="17"/>
  <c r="J144" i="17"/>
  <c r="F157" i="14"/>
  <c r="F158" i="14"/>
  <c r="J170" i="17"/>
  <c r="J237" i="17"/>
  <c r="H62" i="14"/>
  <c r="J139" i="14" s="1"/>
  <c r="J152" i="14"/>
  <c r="H63" i="14"/>
  <c r="H246" i="13"/>
  <c r="H191" i="13"/>
  <c r="G26" i="14"/>
  <c r="G49" i="14" s="1"/>
  <c r="H83" i="11"/>
  <c r="H26" i="14" s="1"/>
  <c r="H49" i="14" s="1"/>
  <c r="I186" i="13"/>
  <c r="I241" i="13"/>
  <c r="I211" i="17"/>
  <c r="I144" i="17"/>
  <c r="I154" i="18"/>
  <c r="I159" i="18" s="1"/>
  <c r="I168" i="18"/>
  <c r="I169" i="18"/>
  <c r="J154" i="18"/>
  <c r="J169" i="18"/>
  <c r="J168" i="18"/>
  <c r="G28" i="18"/>
  <c r="G59" i="18" s="1"/>
  <c r="H89" i="12"/>
  <c r="H28" i="18" s="1"/>
  <c r="H59" i="18" s="1"/>
  <c r="I170" i="17"/>
  <c r="I237" i="17"/>
  <c r="J237" i="13"/>
  <c r="G62" i="14"/>
  <c r="I139" i="14" s="1"/>
  <c r="I152" i="14"/>
  <c r="G63" i="14"/>
  <c r="F172" i="10"/>
  <c r="F127" i="10"/>
  <c r="F37" i="10"/>
  <c r="F142" i="10"/>
  <c r="F157" i="10"/>
  <c r="H216" i="13"/>
  <c r="H270" i="13"/>
  <c r="I236" i="13"/>
  <c r="I181" i="13"/>
  <c r="J142" i="17"/>
  <c r="J209" i="17"/>
  <c r="E65" i="13"/>
  <c r="G200" i="13" s="1"/>
  <c r="I237" i="13"/>
  <c r="I182" i="13"/>
  <c r="F33" i="13"/>
  <c r="F10" i="13" s="1"/>
  <c r="J236" i="13"/>
  <c r="G27" i="14"/>
  <c r="G50" i="14" s="1"/>
  <c r="H84" i="11"/>
  <c r="H27" i="14" s="1"/>
  <c r="H50" i="14" s="1"/>
  <c r="H182" i="17"/>
  <c r="H245" i="17"/>
  <c r="F94" i="14"/>
  <c r="H138" i="14" s="1"/>
  <c r="F95" i="14"/>
  <c r="H143" i="14" s="1"/>
  <c r="H151" i="14"/>
  <c r="H57" i="14"/>
  <c r="J140" i="14" s="1"/>
  <c r="H233" i="13"/>
  <c r="F120" i="13"/>
  <c r="J253" i="13"/>
  <c r="H57" i="12"/>
  <c r="H46" i="13" s="1"/>
  <c r="H103" i="13" s="1"/>
  <c r="H155" i="13" s="1"/>
  <c r="G259" i="17"/>
  <c r="H59" i="12"/>
  <c r="H48" i="13" s="1"/>
  <c r="H105" i="13" s="1"/>
  <c r="H157" i="13" s="1"/>
  <c r="I277" i="13"/>
  <c r="I226" i="13"/>
  <c r="H267" i="13"/>
  <c r="H213" i="13"/>
  <c r="H249" i="13"/>
  <c r="H194" i="13"/>
  <c r="H58" i="11"/>
  <c r="H27" i="13" s="1"/>
  <c r="H84" i="13" s="1"/>
  <c r="H136" i="13" s="1"/>
  <c r="J210" i="13"/>
  <c r="H68" i="13"/>
  <c r="H245" i="13"/>
  <c r="H190" i="13"/>
  <c r="G57" i="14"/>
  <c r="I140" i="14" s="1"/>
  <c r="G29" i="18"/>
  <c r="G60" i="18" s="1"/>
  <c r="H90" i="12"/>
  <c r="H29" i="18" s="1"/>
  <c r="H60" i="18" s="1"/>
  <c r="E42" i="18"/>
  <c r="E12" i="18"/>
  <c r="I253" i="13"/>
  <c r="I198" i="13"/>
  <c r="G29" i="14"/>
  <c r="G52" i="14" s="1"/>
  <c r="H86" i="11"/>
  <c r="H29" i="14" s="1"/>
  <c r="H52" i="14" s="1"/>
  <c r="H268" i="13"/>
  <c r="H214" i="13"/>
  <c r="H55" i="12"/>
  <c r="H44" i="13" s="1"/>
  <c r="H101" i="13" s="1"/>
  <c r="H153" i="13" s="1"/>
  <c r="G30" i="18"/>
  <c r="G61" i="18" s="1"/>
  <c r="H91" i="12"/>
  <c r="H30" i="18" s="1"/>
  <c r="H61" i="18" s="1"/>
  <c r="H248" i="13"/>
  <c r="H193" i="13"/>
  <c r="H57" i="11"/>
  <c r="H26" i="13" s="1"/>
  <c r="H83" i="13" s="1"/>
  <c r="H135" i="13" s="1"/>
  <c r="I142" i="17"/>
  <c r="I209" i="17"/>
  <c r="G52" i="4"/>
  <c r="G28" i="14"/>
  <c r="G51" i="14" s="1"/>
  <c r="H85" i="11"/>
  <c r="H28" i="14" s="1"/>
  <c r="H51" i="14" s="1"/>
  <c r="G68" i="13"/>
  <c r="I39" i="6"/>
  <c r="F13" i="7"/>
  <c r="I261" i="13"/>
  <c r="I207" i="13"/>
  <c r="J234" i="17"/>
  <c r="J167" i="17"/>
  <c r="H54" i="11"/>
  <c r="H23" i="13" s="1"/>
  <c r="H80" i="13" s="1"/>
  <c r="H132" i="13" s="1"/>
  <c r="F229" i="13"/>
  <c r="H77" i="14"/>
  <c r="H78" i="14"/>
  <c r="H62" i="12"/>
  <c r="H51" i="13" s="1"/>
  <c r="H108" i="13" s="1"/>
  <c r="H160" i="13" s="1"/>
  <c r="J141" i="17"/>
  <c r="J208" i="17"/>
  <c r="H266" i="13"/>
  <c r="H212" i="13"/>
  <c r="E141" i="10"/>
  <c r="E156" i="10"/>
  <c r="E171" i="10"/>
  <c r="E36" i="10"/>
  <c r="E126" i="10"/>
  <c r="I163" i="17"/>
  <c r="I230" i="17"/>
  <c r="H244" i="13"/>
  <c r="H189" i="13"/>
  <c r="J261" i="13"/>
  <c r="I167" i="17"/>
  <c r="I234" i="17"/>
  <c r="H118" i="17"/>
  <c r="G77" i="14"/>
  <c r="G78" i="14"/>
  <c r="H273" i="13"/>
  <c r="H219" i="13"/>
  <c r="I141" i="17"/>
  <c r="I208" i="17"/>
  <c r="G26" i="18"/>
  <c r="G57" i="18" s="1"/>
  <c r="H87" i="12"/>
  <c r="H26" i="18" s="1"/>
  <c r="H57" i="18" s="1"/>
  <c r="J166" i="17"/>
  <c r="J233" i="17"/>
  <c r="J277" i="13"/>
  <c r="H56" i="11"/>
  <c r="H25" i="13" s="1"/>
  <c r="H82" i="13" s="1"/>
  <c r="H134" i="13" s="1"/>
  <c r="J207" i="17"/>
  <c r="J140" i="17"/>
  <c r="H53" i="11"/>
  <c r="H22" i="13" s="1"/>
  <c r="H79" i="13" s="1"/>
  <c r="H131" i="13" s="1"/>
  <c r="G156" i="14"/>
  <c r="J146" i="17"/>
  <c r="J213" i="17"/>
  <c r="J197" i="13"/>
  <c r="J240" i="13"/>
  <c r="J238" i="17"/>
  <c r="J171" i="17"/>
  <c r="H60" i="12"/>
  <c r="H49" i="13" s="1"/>
  <c r="H106" i="13" s="1"/>
  <c r="H158" i="13" s="1"/>
  <c r="J260" i="13"/>
  <c r="J206" i="13"/>
  <c r="I166" i="17"/>
  <c r="I233" i="17"/>
  <c r="F16" i="6"/>
  <c r="D160" i="14" l="1"/>
  <c r="H160" i="14"/>
  <c r="D186" i="18"/>
  <c r="D188" i="18" s="1"/>
  <c r="H46" i="14"/>
  <c r="H94" i="14" s="1"/>
  <c r="J138" i="14" s="1"/>
  <c r="H61" i="13"/>
  <c r="D157" i="14"/>
  <c r="F12" i="14"/>
  <c r="H159" i="14"/>
  <c r="B23" i="7"/>
  <c r="I153" i="14"/>
  <c r="J153" i="14"/>
  <c r="F147" i="14"/>
  <c r="D9" i="7" s="1"/>
  <c r="D145" i="14"/>
  <c r="D161" i="14"/>
  <c r="J211" i="13"/>
  <c r="J225" i="13"/>
  <c r="J208" i="13"/>
  <c r="J185" i="13"/>
  <c r="D32" i="10"/>
  <c r="J196" i="13"/>
  <c r="J187" i="17"/>
  <c r="G9" i="6"/>
  <c r="F174" i="18" s="1"/>
  <c r="E175" i="18"/>
  <c r="E177" i="18" s="1"/>
  <c r="F274" i="17"/>
  <c r="F276" i="17" s="1"/>
  <c r="D22" i="7"/>
  <c r="G47" i="6"/>
  <c r="E12" i="7"/>
  <c r="F156" i="10" s="1"/>
  <c r="J159" i="18"/>
  <c r="K39" i="6" s="1"/>
  <c r="J209" i="13"/>
  <c r="J207" i="13"/>
  <c r="J205" i="13"/>
  <c r="J204" i="13"/>
  <c r="D122" i="10"/>
  <c r="D167" i="10"/>
  <c r="D152" i="10"/>
  <c r="G260" i="17"/>
  <c r="G262" i="17" s="1"/>
  <c r="H161" i="14"/>
  <c r="I15" i="6"/>
  <c r="J6" i="6" s="1"/>
  <c r="J253" i="17"/>
  <c r="H32" i="14"/>
  <c r="J186" i="13"/>
  <c r="G32" i="14"/>
  <c r="I159" i="14" s="1"/>
  <c r="H191" i="17"/>
  <c r="I34" i="6" s="1"/>
  <c r="J183" i="13"/>
  <c r="Q58" i="4"/>
  <c r="G16" i="6"/>
  <c r="F290" i="13" s="1"/>
  <c r="G17" i="6"/>
  <c r="Q64" i="4"/>
  <c r="P45" i="4"/>
  <c r="H49" i="4"/>
  <c r="H33" i="13"/>
  <c r="H10" i="13" s="1"/>
  <c r="J198" i="13"/>
  <c r="J254" i="17"/>
  <c r="O49" i="4"/>
  <c r="J245" i="13"/>
  <c r="G165" i="18"/>
  <c r="G166" i="18"/>
  <c r="J249" i="13"/>
  <c r="H178" i="13"/>
  <c r="H285" i="13"/>
  <c r="H284" i="13"/>
  <c r="I267" i="13"/>
  <c r="I213" i="13"/>
  <c r="J180" i="13"/>
  <c r="I249" i="13"/>
  <c r="I194" i="13"/>
  <c r="F65" i="13"/>
  <c r="H200" i="13" s="1"/>
  <c r="J267" i="13"/>
  <c r="E167" i="14"/>
  <c r="G8" i="6"/>
  <c r="J272" i="13"/>
  <c r="I245" i="13"/>
  <c r="I190" i="13"/>
  <c r="I182" i="17"/>
  <c r="I245" i="17"/>
  <c r="I248" i="13"/>
  <c r="I193" i="13"/>
  <c r="F42" i="18"/>
  <c r="F12" i="18"/>
  <c r="I272" i="13"/>
  <c r="I218" i="13"/>
  <c r="J248" i="13"/>
  <c r="J242" i="13"/>
  <c r="J271" i="13"/>
  <c r="G145" i="14"/>
  <c r="I254" i="17"/>
  <c r="J257" i="13"/>
  <c r="J246" i="13"/>
  <c r="J274" i="13"/>
  <c r="I242" i="13"/>
  <c r="I187" i="13"/>
  <c r="H39" i="18"/>
  <c r="I271" i="13"/>
  <c r="I217" i="13"/>
  <c r="G157" i="14"/>
  <c r="G158" i="14"/>
  <c r="I244" i="13"/>
  <c r="I189" i="13"/>
  <c r="J247" i="17"/>
  <c r="J184" i="17"/>
  <c r="I246" i="13"/>
  <c r="I191" i="13"/>
  <c r="I220" i="13"/>
  <c r="I274" i="13"/>
  <c r="I269" i="13"/>
  <c r="I215" i="13"/>
  <c r="J243" i="13"/>
  <c r="H130" i="13"/>
  <c r="G13" i="7"/>
  <c r="J39" i="6"/>
  <c r="J269" i="13"/>
  <c r="I188" i="17"/>
  <c r="I251" i="17"/>
  <c r="I243" i="13"/>
  <c r="G130" i="13"/>
  <c r="I188" i="13" s="1"/>
  <c r="I183" i="17"/>
  <c r="I246" i="17"/>
  <c r="G172" i="10"/>
  <c r="G127" i="10"/>
  <c r="G37" i="10"/>
  <c r="G142" i="10"/>
  <c r="G157" i="10"/>
  <c r="J151" i="14"/>
  <c r="J247" i="13"/>
  <c r="J266" i="13"/>
  <c r="I253" i="17"/>
  <c r="J270" i="13"/>
  <c r="G94" i="14"/>
  <c r="I138" i="14" s="1"/>
  <c r="G95" i="14"/>
  <c r="I143" i="14" s="1"/>
  <c r="I151" i="14"/>
  <c r="P46" i="4"/>
  <c r="Q43" i="4" s="1"/>
  <c r="I247" i="13"/>
  <c r="I192" i="13"/>
  <c r="I266" i="13"/>
  <c r="I212" i="13"/>
  <c r="J182" i="17"/>
  <c r="J245" i="17"/>
  <c r="I216" i="13"/>
  <c r="I270" i="13"/>
  <c r="J179" i="13"/>
  <c r="J195" i="13"/>
  <c r="J227" i="13"/>
  <c r="J244" i="13"/>
  <c r="E290" i="13"/>
  <c r="E292" i="13" s="1"/>
  <c r="G7" i="6"/>
  <c r="F21" i="6"/>
  <c r="F42" i="6" s="1"/>
  <c r="J183" i="17"/>
  <c r="J246" i="17"/>
  <c r="J226" i="13"/>
  <c r="I273" i="13"/>
  <c r="I219" i="13"/>
  <c r="G33" i="13"/>
  <c r="G10" i="13" s="1"/>
  <c r="G282" i="13"/>
  <c r="G283" i="13"/>
  <c r="J182" i="13"/>
  <c r="I257" i="13"/>
  <c r="I203" i="13"/>
  <c r="G18" i="6"/>
  <c r="G141" i="14" s="1"/>
  <c r="D8" i="7"/>
  <c r="G36" i="6"/>
  <c r="J273" i="13"/>
  <c r="I233" i="13"/>
  <c r="G120" i="13"/>
  <c r="J188" i="17"/>
  <c r="J251" i="17"/>
  <c r="I247" i="17"/>
  <c r="I184" i="17"/>
  <c r="J268" i="13"/>
  <c r="H156" i="14"/>
  <c r="H259" i="17"/>
  <c r="I250" i="17"/>
  <c r="I187" i="17"/>
  <c r="J233" i="13"/>
  <c r="H120" i="13"/>
  <c r="I214" i="13"/>
  <c r="I268" i="13"/>
  <c r="J181" i="13"/>
  <c r="G229" i="13"/>
  <c r="G39" i="18"/>
  <c r="H95" i="14" l="1"/>
  <c r="J143" i="14" s="1"/>
  <c r="I160" i="14"/>
  <c r="J160" i="14"/>
  <c r="H12" i="14"/>
  <c r="J158" i="14" s="1"/>
  <c r="J159" i="14"/>
  <c r="H13" i="7"/>
  <c r="I156" i="14"/>
  <c r="G12" i="14"/>
  <c r="I157" i="14" s="1"/>
  <c r="G37" i="6"/>
  <c r="G41" i="6" s="1"/>
  <c r="H8" i="6"/>
  <c r="G166" i="14" s="1"/>
  <c r="G147" i="14"/>
  <c r="E17" i="6"/>
  <c r="J219" i="13"/>
  <c r="D147" i="14"/>
  <c r="J214" i="13"/>
  <c r="J217" i="13"/>
  <c r="J156" i="14"/>
  <c r="J194" i="13"/>
  <c r="H9" i="6"/>
  <c r="G174" i="18" s="1"/>
  <c r="F175" i="18"/>
  <c r="F177" i="18" s="1"/>
  <c r="E22" i="7"/>
  <c r="G274" i="17"/>
  <c r="G276" i="17" s="1"/>
  <c r="H47" i="6"/>
  <c r="H260" i="17"/>
  <c r="H262" i="17" s="1"/>
  <c r="F22" i="7" s="1"/>
  <c r="F36" i="10"/>
  <c r="F126" i="10"/>
  <c r="F171" i="10"/>
  <c r="F141" i="10"/>
  <c r="F12" i="7"/>
  <c r="G126" i="10" s="1"/>
  <c r="H7" i="6"/>
  <c r="G289" i="13" s="1"/>
  <c r="K15" i="6"/>
  <c r="J260" i="17" s="1"/>
  <c r="J191" i="17"/>
  <c r="H12" i="7" s="1"/>
  <c r="I161" i="14"/>
  <c r="F167" i="14"/>
  <c r="I191" i="17"/>
  <c r="J34" i="6" s="1"/>
  <c r="J192" i="13"/>
  <c r="J191" i="13"/>
  <c r="J189" i="13"/>
  <c r="H229" i="13"/>
  <c r="F8" i="7" s="1"/>
  <c r="H16" i="6"/>
  <c r="G290" i="13" s="1"/>
  <c r="H17" i="6"/>
  <c r="G21" i="6"/>
  <c r="G42" i="6" s="1"/>
  <c r="H12" i="18"/>
  <c r="H42" i="18"/>
  <c r="H52" i="4"/>
  <c r="J161" i="14"/>
  <c r="J220" i="13"/>
  <c r="H282" i="13"/>
  <c r="H283" i="13"/>
  <c r="H145" i="14"/>
  <c r="J187" i="13"/>
  <c r="H18" i="6"/>
  <c r="H141" i="14" s="1"/>
  <c r="J15" i="6"/>
  <c r="J190" i="13"/>
  <c r="E8" i="7"/>
  <c r="H36" i="6"/>
  <c r="Q44" i="4"/>
  <c r="Q45" i="4" s="1"/>
  <c r="J203" i="13"/>
  <c r="I37" i="10"/>
  <c r="I142" i="10"/>
  <c r="I157" i="10"/>
  <c r="I127" i="10"/>
  <c r="I172" i="10"/>
  <c r="J215" i="13"/>
  <c r="E168" i="10"/>
  <c r="E123" i="10"/>
  <c r="E33" i="10"/>
  <c r="E138" i="10"/>
  <c r="E153" i="10"/>
  <c r="J193" i="13"/>
  <c r="J218" i="13"/>
  <c r="H157" i="14"/>
  <c r="H158" i="14"/>
  <c r="H127" i="10"/>
  <c r="H142" i="10"/>
  <c r="H157" i="10"/>
  <c r="H172" i="10"/>
  <c r="H37" i="10"/>
  <c r="O50" i="4"/>
  <c r="O52" i="4" s="1"/>
  <c r="F289" i="13"/>
  <c r="F292" i="13" s="1"/>
  <c r="G12" i="6"/>
  <c r="J216" i="13"/>
  <c r="F166" i="14"/>
  <c r="I178" i="13"/>
  <c r="I284" i="13"/>
  <c r="I285" i="13"/>
  <c r="G12" i="18"/>
  <c r="G42" i="18"/>
  <c r="E137" i="10"/>
  <c r="E152" i="10"/>
  <c r="E167" i="10"/>
  <c r="E32" i="10"/>
  <c r="E122" i="10"/>
  <c r="D15" i="7"/>
  <c r="J178" i="13"/>
  <c r="J284" i="13"/>
  <c r="J285" i="13"/>
  <c r="E302" i="13"/>
  <c r="E305" i="13" s="1"/>
  <c r="E307" i="13" s="1"/>
  <c r="C18" i="7"/>
  <c r="F49" i="6"/>
  <c r="G65" i="13"/>
  <c r="I200" i="13" s="1"/>
  <c r="J188" i="13"/>
  <c r="H165" i="18"/>
  <c r="H166" i="18"/>
  <c r="E186" i="18"/>
  <c r="E188" i="18" s="1"/>
  <c r="C23" i="7"/>
  <c r="F52" i="6"/>
  <c r="H65" i="13"/>
  <c r="J200" i="13" s="1"/>
  <c r="I259" i="17"/>
  <c r="J212" i="13"/>
  <c r="J213" i="13"/>
  <c r="B9" i="7" l="1"/>
  <c r="B15" i="7" s="1"/>
  <c r="C6" i="9" s="1"/>
  <c r="J157" i="14"/>
  <c r="K17" i="6" s="1"/>
  <c r="F8" i="6"/>
  <c r="E166" i="14" s="1"/>
  <c r="E169" i="14" s="1"/>
  <c r="E178" i="14" s="1"/>
  <c r="D167" i="14"/>
  <c r="D169" i="14" s="1"/>
  <c r="D178" i="14" s="1"/>
  <c r="D180" i="14" s="1"/>
  <c r="D182" i="14" s="1"/>
  <c r="H37" i="6"/>
  <c r="H41" i="6" s="1"/>
  <c r="E9" i="7"/>
  <c r="F33" i="10" s="1"/>
  <c r="H147" i="14"/>
  <c r="F9" i="7" s="1"/>
  <c r="F15" i="7" s="1"/>
  <c r="E21" i="6"/>
  <c r="E42" i="6" s="1"/>
  <c r="C9" i="7"/>
  <c r="E37" i="6"/>
  <c r="E41" i="6" s="1"/>
  <c r="J145" i="14"/>
  <c r="F169" i="14"/>
  <c r="F178" i="14" s="1"/>
  <c r="F180" i="14" s="1"/>
  <c r="F182" i="14" s="1"/>
  <c r="I9" i="6"/>
  <c r="H174" i="18" s="1"/>
  <c r="G175" i="18"/>
  <c r="G177" i="18" s="1"/>
  <c r="I47" i="6"/>
  <c r="H274" i="17"/>
  <c r="H276" i="17" s="1"/>
  <c r="I145" i="14"/>
  <c r="I158" i="14"/>
  <c r="J17" i="6" s="1"/>
  <c r="G36" i="10"/>
  <c r="G141" i="10"/>
  <c r="G171" i="10"/>
  <c r="G156" i="10"/>
  <c r="H12" i="6"/>
  <c r="E129" i="10"/>
  <c r="G292" i="13"/>
  <c r="G302" i="13" s="1"/>
  <c r="G305" i="13" s="1"/>
  <c r="G307" i="13" s="1"/>
  <c r="I36" i="6"/>
  <c r="K34" i="6"/>
  <c r="E174" i="10"/>
  <c r="I7" i="6"/>
  <c r="H289" i="13" s="1"/>
  <c r="G12" i="7"/>
  <c r="H126" i="10" s="1"/>
  <c r="G44" i="6"/>
  <c r="E39" i="10"/>
  <c r="I8" i="6"/>
  <c r="I229" i="13"/>
  <c r="G8" i="7" s="1"/>
  <c r="G167" i="14"/>
  <c r="G169" i="14" s="1"/>
  <c r="G178" i="14" s="1"/>
  <c r="G180" i="14" s="1"/>
  <c r="G182" i="14" s="1"/>
  <c r="I16" i="6"/>
  <c r="J7" i="6" s="1"/>
  <c r="I17" i="6"/>
  <c r="I18" i="6"/>
  <c r="I141" i="14" s="1"/>
  <c r="H21" i="6"/>
  <c r="H42" i="6" s="1"/>
  <c r="Q46" i="4"/>
  <c r="I49" i="4"/>
  <c r="F302" i="13"/>
  <c r="F305" i="13" s="1"/>
  <c r="F307" i="13" s="1"/>
  <c r="D18" i="7"/>
  <c r="G49" i="6"/>
  <c r="F186" i="18"/>
  <c r="F188" i="18" s="1"/>
  <c r="D23" i="7"/>
  <c r="G52" i="6"/>
  <c r="I260" i="17"/>
  <c r="I262" i="17" s="1"/>
  <c r="K6" i="6"/>
  <c r="G152" i="10"/>
  <c r="G167" i="10"/>
  <c r="G122" i="10"/>
  <c r="G137" i="10"/>
  <c r="G32" i="10"/>
  <c r="J282" i="13"/>
  <c r="J283" i="13"/>
  <c r="E6" i="9"/>
  <c r="O51" i="4"/>
  <c r="J229" i="13"/>
  <c r="I282" i="13"/>
  <c r="I283" i="13"/>
  <c r="P49" i="4"/>
  <c r="E144" i="10"/>
  <c r="I165" i="18"/>
  <c r="I166" i="18"/>
  <c r="I156" i="10"/>
  <c r="I171" i="10"/>
  <c r="I126" i="10"/>
  <c r="I141" i="10"/>
  <c r="I36" i="10"/>
  <c r="E159" i="10"/>
  <c r="F152" i="10"/>
  <c r="F167" i="10"/>
  <c r="F122" i="10"/>
  <c r="F32" i="10"/>
  <c r="F137" i="10"/>
  <c r="J165" i="18"/>
  <c r="J166" i="18"/>
  <c r="C123" i="10" l="1"/>
  <c r="C129" i="10" s="1"/>
  <c r="C153" i="10"/>
  <c r="C159" i="10" s="1"/>
  <c r="C138" i="10"/>
  <c r="C144" i="10" s="1"/>
  <c r="C168" i="10"/>
  <c r="C174" i="10" s="1"/>
  <c r="C33" i="10"/>
  <c r="C39" i="10" s="1"/>
  <c r="I37" i="6"/>
  <c r="I41" i="6" s="1"/>
  <c r="F168" i="10"/>
  <c r="F174" i="10" s="1"/>
  <c r="F12" i="6"/>
  <c r="B19" i="7"/>
  <c r="B25" i="7" s="1"/>
  <c r="E44" i="6"/>
  <c r="E50" i="6"/>
  <c r="E54" i="6" s="1"/>
  <c r="F153" i="10"/>
  <c r="F159" i="10" s="1"/>
  <c r="F123" i="10"/>
  <c r="F129" i="10" s="1"/>
  <c r="F138" i="10"/>
  <c r="F144" i="10" s="1"/>
  <c r="E15" i="7"/>
  <c r="F6" i="9" s="1"/>
  <c r="E180" i="14"/>
  <c r="E182" i="14" s="1"/>
  <c r="J8" i="6"/>
  <c r="I166" i="14" s="1"/>
  <c r="I147" i="14"/>
  <c r="K8" i="6"/>
  <c r="J166" i="14" s="1"/>
  <c r="F37" i="6"/>
  <c r="F41" i="6" s="1"/>
  <c r="F44" i="6" s="1"/>
  <c r="F50" i="6"/>
  <c r="F54" i="6" s="1"/>
  <c r="C19" i="7"/>
  <c r="C25" i="7" s="1"/>
  <c r="D22" i="9" s="1"/>
  <c r="I12" i="6"/>
  <c r="G50" i="6"/>
  <c r="G54" i="6" s="1"/>
  <c r="G55" i="6" s="1"/>
  <c r="D19" i="7"/>
  <c r="D25" i="7" s="1"/>
  <c r="J9" i="6"/>
  <c r="I174" i="18" s="1"/>
  <c r="H175" i="18"/>
  <c r="I167" i="14"/>
  <c r="H171" i="10"/>
  <c r="H36" i="10"/>
  <c r="H156" i="10"/>
  <c r="E18" i="7"/>
  <c r="H49" i="6"/>
  <c r="H50" i="6"/>
  <c r="H166" i="14"/>
  <c r="J36" i="6"/>
  <c r="E19" i="7"/>
  <c r="J167" i="14"/>
  <c r="F39" i="10"/>
  <c r="H141" i="10"/>
  <c r="H167" i="14"/>
  <c r="H290" i="13"/>
  <c r="H292" i="13" s="1"/>
  <c r="H302" i="13" s="1"/>
  <c r="H305" i="13" s="1"/>
  <c r="H307" i="13" s="1"/>
  <c r="H44" i="6"/>
  <c r="J16" i="6"/>
  <c r="I290" i="13" s="1"/>
  <c r="K18" i="6"/>
  <c r="J175" i="18" s="1"/>
  <c r="I21" i="6"/>
  <c r="I42" i="6" s="1"/>
  <c r="G6" i="9"/>
  <c r="I289" i="13"/>
  <c r="H152" i="10"/>
  <c r="H167" i="10"/>
  <c r="H122" i="10"/>
  <c r="H137" i="10"/>
  <c r="H32" i="10"/>
  <c r="I52" i="4"/>
  <c r="K16" i="6"/>
  <c r="H8" i="7"/>
  <c r="K36" i="6"/>
  <c r="J18" i="6"/>
  <c r="G186" i="18"/>
  <c r="G188" i="18" s="1"/>
  <c r="E23" i="7"/>
  <c r="H52" i="6"/>
  <c r="I274" i="17"/>
  <c r="I276" i="17" s="1"/>
  <c r="G22" i="7"/>
  <c r="J47" i="6"/>
  <c r="P50" i="4"/>
  <c r="J259" i="17"/>
  <c r="J262" i="17" s="1"/>
  <c r="G168" i="10"/>
  <c r="G174" i="10" s="1"/>
  <c r="G123" i="10"/>
  <c r="G129" i="10" s="1"/>
  <c r="G33" i="10"/>
  <c r="G39" i="10" s="1"/>
  <c r="G138" i="10"/>
  <c r="G144" i="10" s="1"/>
  <c r="G153" i="10"/>
  <c r="G159" i="10" s="1"/>
  <c r="I175" i="18" l="1"/>
  <c r="I177" i="18" s="1"/>
  <c r="G23" i="7" s="1"/>
  <c r="J141" i="14"/>
  <c r="J147" i="14" s="1"/>
  <c r="K37" i="6" s="1"/>
  <c r="K41" i="6" s="1"/>
  <c r="B38" i="7"/>
  <c r="B40" i="7" s="1"/>
  <c r="C109" i="10" s="1"/>
  <c r="C41" i="10"/>
  <c r="C43" i="10" s="1"/>
  <c r="C147" i="10"/>
  <c r="C148" i="10" s="1"/>
  <c r="C149" i="10" s="1"/>
  <c r="C162" i="10"/>
  <c r="C163" i="10" s="1"/>
  <c r="C164" i="10" s="1"/>
  <c r="C132" i="10"/>
  <c r="C133" i="10" s="1"/>
  <c r="C134" i="10" s="1"/>
  <c r="C177" i="10"/>
  <c r="C178" i="10" s="1"/>
  <c r="C179" i="10" s="1"/>
  <c r="C22" i="9"/>
  <c r="E55" i="6"/>
  <c r="E56" i="6" s="1"/>
  <c r="B24" i="8" s="1"/>
  <c r="C28" i="9" s="1"/>
  <c r="F55" i="6"/>
  <c r="C24" i="8" s="1"/>
  <c r="C27" i="8" s="1"/>
  <c r="J37" i="6"/>
  <c r="J41" i="6" s="1"/>
  <c r="G9" i="7"/>
  <c r="H138" i="10" s="1"/>
  <c r="H144" i="10" s="1"/>
  <c r="C15" i="7"/>
  <c r="D6" i="9" s="1"/>
  <c r="D168" i="10"/>
  <c r="D174" i="10" s="1"/>
  <c r="D138" i="10"/>
  <c r="D144" i="10" s="1"/>
  <c r="D153" i="10"/>
  <c r="D159" i="10" s="1"/>
  <c r="D33" i="10"/>
  <c r="D39" i="10" s="1"/>
  <c r="D123" i="10"/>
  <c r="D129" i="10" s="1"/>
  <c r="D132" i="10"/>
  <c r="D133" i="10" s="1"/>
  <c r="D41" i="10"/>
  <c r="D177" i="10"/>
  <c r="D178" i="10" s="1"/>
  <c r="D147" i="10"/>
  <c r="D148" i="10" s="1"/>
  <c r="D162" i="10"/>
  <c r="D163" i="10" s="1"/>
  <c r="C38" i="7"/>
  <c r="D24" i="8"/>
  <c r="J12" i="6"/>
  <c r="P51" i="4"/>
  <c r="P52" i="4"/>
  <c r="Q49" i="4" s="1"/>
  <c r="I169" i="14"/>
  <c r="I178" i="14" s="1"/>
  <c r="I180" i="14" s="1"/>
  <c r="I182" i="14" s="1"/>
  <c r="H54" i="6"/>
  <c r="H55" i="6" s="1"/>
  <c r="I44" i="6"/>
  <c r="H169" i="14"/>
  <c r="H178" i="14" s="1"/>
  <c r="H180" i="14" s="1"/>
  <c r="H182" i="14" s="1"/>
  <c r="J169" i="14"/>
  <c r="J178" i="14" s="1"/>
  <c r="H177" i="18"/>
  <c r="H186" i="18" s="1"/>
  <c r="H188" i="18" s="1"/>
  <c r="E25" i="7"/>
  <c r="F162" i="10" s="1"/>
  <c r="F163" i="10" s="1"/>
  <c r="F164" i="10" s="1"/>
  <c r="F18" i="7"/>
  <c r="I49" i="6"/>
  <c r="K7" i="6"/>
  <c r="J289" i="13" s="1"/>
  <c r="I292" i="13"/>
  <c r="J49" i="6" s="1"/>
  <c r="E162" i="10"/>
  <c r="E163" i="10" s="1"/>
  <c r="E164" i="10" s="1"/>
  <c r="E177" i="10"/>
  <c r="E178" i="10" s="1"/>
  <c r="E179" i="10" s="1"/>
  <c r="E132" i="10"/>
  <c r="E133" i="10" s="1"/>
  <c r="E134" i="10" s="1"/>
  <c r="E41" i="10"/>
  <c r="E43" i="10" s="1"/>
  <c r="E147" i="10"/>
  <c r="E148" i="10" s="1"/>
  <c r="E149" i="10" s="1"/>
  <c r="D38" i="7"/>
  <c r="D40" i="7" s="1"/>
  <c r="E109" i="10" s="1"/>
  <c r="E22" i="9"/>
  <c r="K9" i="6"/>
  <c r="J174" i="18" s="1"/>
  <c r="J177" i="18" s="1"/>
  <c r="H23" i="7" s="1"/>
  <c r="J21" i="6"/>
  <c r="J42" i="6" s="1"/>
  <c r="I152" i="10"/>
  <c r="I167" i="10"/>
  <c r="I122" i="10"/>
  <c r="I137" i="10"/>
  <c r="I32" i="10"/>
  <c r="J274" i="17"/>
  <c r="J276" i="17" s="1"/>
  <c r="H22" i="7"/>
  <c r="K47" i="6"/>
  <c r="J290" i="13"/>
  <c r="K21" i="6"/>
  <c r="K42" i="6" s="1"/>
  <c r="H9" i="7" l="1"/>
  <c r="I123" i="10" s="1"/>
  <c r="I129" i="10" s="1"/>
  <c r="J180" i="14"/>
  <c r="J182" i="14" s="1"/>
  <c r="H153" i="10"/>
  <c r="H159" i="10" s="1"/>
  <c r="H168" i="10"/>
  <c r="H174" i="10" s="1"/>
  <c r="G15" i="7"/>
  <c r="H6" i="9" s="1"/>
  <c r="H33" i="10"/>
  <c r="H39" i="10" s="1"/>
  <c r="C11" i="9"/>
  <c r="B27" i="8"/>
  <c r="D11" i="2"/>
  <c r="J44" i="6"/>
  <c r="D164" i="10"/>
  <c r="H123" i="10"/>
  <c r="H129" i="10" s="1"/>
  <c r="D11" i="9"/>
  <c r="D12" i="9" s="1"/>
  <c r="D28" i="9"/>
  <c r="C40" i="7"/>
  <c r="D109" i="10" s="1"/>
  <c r="D134" i="10"/>
  <c r="I153" i="10"/>
  <c r="I159" i="10" s="1"/>
  <c r="D179" i="10"/>
  <c r="D149" i="10"/>
  <c r="D43" i="10"/>
  <c r="D27" i="8"/>
  <c r="E11" i="9"/>
  <c r="E12" i="9" s="1"/>
  <c r="E28" i="9"/>
  <c r="E24" i="8"/>
  <c r="J52" i="6"/>
  <c r="I186" i="18"/>
  <c r="I188" i="18" s="1"/>
  <c r="I50" i="6"/>
  <c r="J50" i="6"/>
  <c r="G19" i="7"/>
  <c r="K52" i="6"/>
  <c r="J186" i="18"/>
  <c r="J188" i="18" s="1"/>
  <c r="F177" i="10"/>
  <c r="F178" i="10" s="1"/>
  <c r="F179" i="10" s="1"/>
  <c r="F132" i="10"/>
  <c r="F133" i="10" s="1"/>
  <c r="F134" i="10" s="1"/>
  <c r="H19" i="7"/>
  <c r="F19" i="7"/>
  <c r="K44" i="6"/>
  <c r="K50" i="6"/>
  <c r="F41" i="10"/>
  <c r="F43" i="10" s="1"/>
  <c r="F147" i="10"/>
  <c r="F148" i="10" s="1"/>
  <c r="F149" i="10" s="1"/>
  <c r="I52" i="6"/>
  <c r="F23" i="7"/>
  <c r="E38" i="7"/>
  <c r="E40" i="7" s="1"/>
  <c r="F109" i="10" s="1"/>
  <c r="F22" i="9"/>
  <c r="J292" i="13"/>
  <c r="H18" i="7" s="1"/>
  <c r="K12" i="6"/>
  <c r="I302" i="13"/>
  <c r="I305" i="13" s="1"/>
  <c r="I307" i="13" s="1"/>
  <c r="G18" i="7"/>
  <c r="Q50" i="4"/>
  <c r="Q52" i="4" s="1"/>
  <c r="I138" i="10" l="1"/>
  <c r="I144" i="10" s="1"/>
  <c r="H15" i="7"/>
  <c r="I6" i="9" s="1"/>
  <c r="I168" i="10"/>
  <c r="I174" i="10" s="1"/>
  <c r="I33" i="10"/>
  <c r="I39" i="10" s="1"/>
  <c r="E27" i="8"/>
  <c r="F11" i="9"/>
  <c r="F12" i="9" s="1"/>
  <c r="F28" i="9"/>
  <c r="J54" i="6"/>
  <c r="J55" i="6" s="1"/>
  <c r="I54" i="6"/>
  <c r="I55" i="6" s="1"/>
  <c r="G25" i="7"/>
  <c r="H177" i="10" s="1"/>
  <c r="H178" i="10" s="1"/>
  <c r="H179" i="10" s="1"/>
  <c r="H25" i="7"/>
  <c r="I22" i="9" s="1"/>
  <c r="F25" i="7"/>
  <c r="F38" i="7" s="1"/>
  <c r="F40" i="7" s="1"/>
  <c r="G109" i="10" s="1"/>
  <c r="K49" i="6"/>
  <c r="K54" i="6" s="1"/>
  <c r="K55" i="6" s="1"/>
  <c r="J302" i="13"/>
  <c r="J305" i="13" s="1"/>
  <c r="J307" i="13" s="1"/>
  <c r="Q51" i="4"/>
  <c r="H24" i="8" l="1"/>
  <c r="F24" i="8"/>
  <c r="G24" i="8"/>
  <c r="I162" i="10"/>
  <c r="I163" i="10" s="1"/>
  <c r="I164" i="10" s="1"/>
  <c r="H41" i="10"/>
  <c r="H43" i="10" s="1"/>
  <c r="H22" i="9"/>
  <c r="H162" i="10"/>
  <c r="H163" i="10" s="1"/>
  <c r="H164" i="10" s="1"/>
  <c r="H147" i="10"/>
  <c r="H148" i="10" s="1"/>
  <c r="H149" i="10" s="1"/>
  <c r="G38" i="7"/>
  <c r="G40" i="7" s="1"/>
  <c r="H109" i="10" s="1"/>
  <c r="H132" i="10"/>
  <c r="H133" i="10" s="1"/>
  <c r="H134" i="10" s="1"/>
  <c r="I147" i="10"/>
  <c r="I148" i="10" s="1"/>
  <c r="I149" i="10" s="1"/>
  <c r="I177" i="10"/>
  <c r="I178" i="10" s="1"/>
  <c r="I179" i="10" s="1"/>
  <c r="I132" i="10"/>
  <c r="I133" i="10" s="1"/>
  <c r="I134" i="10" s="1"/>
  <c r="I41" i="10"/>
  <c r="I43" i="10" s="1"/>
  <c r="H38" i="7"/>
  <c r="H40" i="7" s="1"/>
  <c r="G22" i="9"/>
  <c r="G162" i="10"/>
  <c r="G163" i="10" s="1"/>
  <c r="G164" i="10" s="1"/>
  <c r="G147" i="10"/>
  <c r="G148" i="10" s="1"/>
  <c r="G149" i="10" s="1"/>
  <c r="G41" i="10"/>
  <c r="G43" i="10" s="1"/>
  <c r="G132" i="10"/>
  <c r="G133" i="10" s="1"/>
  <c r="G134" i="10" s="1"/>
  <c r="G177" i="10"/>
  <c r="G178" i="10" s="1"/>
  <c r="G179" i="10" s="1"/>
  <c r="I109" i="10" l="1"/>
  <c r="I110" i="10" s="1"/>
  <c r="G27" i="8"/>
  <c r="H28" i="9"/>
  <c r="H11" i="9"/>
  <c r="H12" i="9" s="1"/>
  <c r="F27" i="8"/>
  <c r="G28" i="9"/>
  <c r="G11" i="9"/>
  <c r="G12" i="9" s="1"/>
  <c r="H27" i="8"/>
  <c r="H31" i="8" s="1"/>
  <c r="I11" i="9"/>
  <c r="I12" i="9" s="1"/>
  <c r="I28" i="9"/>
  <c r="C110" i="10" l="1"/>
  <c r="D110" i="10" l="1"/>
  <c r="E110" i="10" l="1"/>
  <c r="F110" i="10" l="1"/>
  <c r="G110" i="10" l="1"/>
  <c r="H110" i="10" l="1"/>
  <c r="I26" i="9" l="1"/>
  <c r="H47" i="7" l="1"/>
  <c r="I25" i="9"/>
  <c r="I112" i="10" s="1"/>
  <c r="G12" i="3" l="1"/>
  <c r="D5" i="2" s="1"/>
  <c r="C15" i="9" l="1"/>
  <c r="E20" i="2"/>
  <c r="C37" i="4"/>
  <c r="F5" i="2"/>
  <c r="F12" i="2" s="1"/>
  <c r="E19" i="2" s="1"/>
  <c r="D12" i="2"/>
  <c r="E21" i="2" l="1"/>
  <c r="E22" i="2" s="1"/>
  <c r="C38" i="4"/>
  <c r="C40" i="4" s="1"/>
  <c r="I38" i="4"/>
  <c r="I66" i="4" s="1"/>
  <c r="D38" i="4"/>
  <c r="D66" i="4" s="1"/>
  <c r="G38" i="4"/>
  <c r="G66" i="4" s="1"/>
  <c r="C65" i="4"/>
  <c r="B13" i="8" s="1"/>
  <c r="K37" i="4"/>
  <c r="E38" i="4"/>
  <c r="E66" i="4" s="1"/>
  <c r="H38" i="4"/>
  <c r="H66" i="4" s="1"/>
  <c r="F38" i="4"/>
  <c r="F66" i="4" s="1"/>
  <c r="C15" i="10"/>
  <c r="C71" i="10"/>
  <c r="C83" i="10"/>
  <c r="D22" i="10"/>
  <c r="C94" i="10"/>
  <c r="B34" i="8"/>
  <c r="C34" i="8" s="1"/>
  <c r="D34" i="8" s="1"/>
  <c r="E34" i="8" s="1"/>
  <c r="F34" i="8" s="1"/>
  <c r="G34" i="8" s="1"/>
  <c r="H34" i="8" s="1"/>
  <c r="C9" i="9"/>
  <c r="D4" i="5"/>
  <c r="C10" i="9"/>
  <c r="D37" i="4" l="1"/>
  <c r="C68" i="4"/>
  <c r="F42" i="7"/>
  <c r="F14" i="8"/>
  <c r="D42" i="7"/>
  <c r="D14" i="8"/>
  <c r="C14" i="8"/>
  <c r="C42" i="7"/>
  <c r="C7" i="9"/>
  <c r="C12" i="9" s="1"/>
  <c r="B33" i="8"/>
  <c r="E14" i="8"/>
  <c r="E42" i="7"/>
  <c r="K65" i="4"/>
  <c r="K38" i="4"/>
  <c r="K40" i="4" s="1"/>
  <c r="H42" i="7"/>
  <c r="H14" i="8"/>
  <c r="C10" i="5"/>
  <c r="D8" i="5"/>
  <c r="G42" i="7"/>
  <c r="G14" i="8"/>
  <c r="C66" i="4"/>
  <c r="C39" i="4"/>
  <c r="F56" i="5" l="1"/>
  <c r="F52" i="5"/>
  <c r="F48" i="5"/>
  <c r="F34" i="5"/>
  <c r="F46" i="5"/>
  <c r="F57" i="5"/>
  <c r="F53" i="5"/>
  <c r="F49" i="5"/>
  <c r="F50" i="5"/>
  <c r="F43" i="5"/>
  <c r="F39" i="5"/>
  <c r="F35" i="5"/>
  <c r="F30" i="5"/>
  <c r="F26" i="5"/>
  <c r="F21" i="5"/>
  <c r="F17" i="5"/>
  <c r="F16" i="5"/>
  <c r="F55" i="5"/>
  <c r="F47" i="5"/>
  <c r="F44" i="5"/>
  <c r="F40" i="5"/>
  <c r="F36" i="5"/>
  <c r="F22" i="5"/>
  <c r="F31" i="5"/>
  <c r="F27" i="5"/>
  <c r="F23" i="5"/>
  <c r="F18" i="5"/>
  <c r="F54" i="5"/>
  <c r="F45" i="5"/>
  <c r="F41" i="5"/>
  <c r="F37" i="5"/>
  <c r="F32" i="5"/>
  <c r="F28" i="5"/>
  <c r="F24" i="5"/>
  <c r="F19" i="5"/>
  <c r="F33" i="5"/>
  <c r="F38" i="5"/>
  <c r="F51" i="5"/>
  <c r="F42" i="5"/>
  <c r="F25" i="5"/>
  <c r="F29" i="5"/>
  <c r="F20" i="5"/>
  <c r="K66" i="4"/>
  <c r="K39" i="4"/>
  <c r="B14" i="8"/>
  <c r="B15" i="8" s="1"/>
  <c r="B42" i="7"/>
  <c r="D10" i="5"/>
  <c r="C33" i="8"/>
  <c r="G60" i="10"/>
  <c r="F45" i="7"/>
  <c r="H11" i="10"/>
  <c r="F96" i="4"/>
  <c r="H96" i="10"/>
  <c r="L37" i="4"/>
  <c r="K68" i="4"/>
  <c r="D96" i="4"/>
  <c r="E60" i="10"/>
  <c r="D45" i="7"/>
  <c r="F11" i="10"/>
  <c r="F96" i="10"/>
  <c r="D39" i="4"/>
  <c r="C67" i="4"/>
  <c r="H60" i="10"/>
  <c r="G45" i="7"/>
  <c r="G96" i="4"/>
  <c r="I11" i="10"/>
  <c r="I96" i="10"/>
  <c r="H96" i="4"/>
  <c r="J96" i="10"/>
  <c r="I60" i="10"/>
  <c r="H45" i="7"/>
  <c r="J11" i="10"/>
  <c r="G11" i="10"/>
  <c r="E45" i="7"/>
  <c r="E96" i="4"/>
  <c r="F60" i="10"/>
  <c r="G96" i="10"/>
  <c r="E96" i="10"/>
  <c r="E11" i="10"/>
  <c r="D60" i="10"/>
  <c r="C96" i="4"/>
  <c r="C45" i="7"/>
  <c r="D65" i="4"/>
  <c r="C13" i="8" s="1"/>
  <c r="C15" i="8" s="1"/>
  <c r="D40" i="4"/>
  <c r="B97" i="4" l="1"/>
  <c r="C45" i="10"/>
  <c r="C47" i="10" s="1"/>
  <c r="G80" i="10"/>
  <c r="K67" i="4"/>
  <c r="E80" i="10"/>
  <c r="F10" i="5"/>
  <c r="E10" i="5" s="1"/>
  <c r="H80" i="10"/>
  <c r="D67" i="4"/>
  <c r="E39" i="4"/>
  <c r="D96" i="10"/>
  <c r="C60" i="10"/>
  <c r="B96" i="4"/>
  <c r="D11" i="10"/>
  <c r="B45" i="7"/>
  <c r="D80" i="10"/>
  <c r="D68" i="4"/>
  <c r="E37" i="4"/>
  <c r="F80" i="10"/>
  <c r="H49" i="7"/>
  <c r="I80" i="10"/>
  <c r="L38" i="4"/>
  <c r="L66" i="4" s="1"/>
  <c r="L65" i="4"/>
  <c r="D33" i="8"/>
  <c r="C97" i="4" l="1"/>
  <c r="D45" i="10"/>
  <c r="D47" i="10" s="1"/>
  <c r="E33" i="8"/>
  <c r="E40" i="4"/>
  <c r="E65" i="4"/>
  <c r="D13" i="8" s="1"/>
  <c r="D15" i="8" s="1"/>
  <c r="L39" i="4"/>
  <c r="C80" i="10"/>
  <c r="C82" i="10" s="1"/>
  <c r="C85" i="10" s="1"/>
  <c r="D29" i="2" s="1"/>
  <c r="H95" i="4"/>
  <c r="G10" i="5"/>
  <c r="C11" i="5" s="1"/>
  <c r="L40" i="4"/>
  <c r="F39" i="4"/>
  <c r="E67" i="4"/>
  <c r="E68" i="4" l="1"/>
  <c r="F37" i="4"/>
  <c r="D11" i="5"/>
  <c r="F67" i="4"/>
  <c r="G39" i="4"/>
  <c r="L68" i="4"/>
  <c r="M37" i="4"/>
  <c r="L67" i="4"/>
  <c r="F33" i="8"/>
  <c r="M65" i="4" l="1"/>
  <c r="M38" i="4"/>
  <c r="H39" i="4"/>
  <c r="G67" i="4"/>
  <c r="F65" i="4"/>
  <c r="E13" i="8" s="1"/>
  <c r="E15" i="8" s="1"/>
  <c r="F40" i="4"/>
  <c r="F11" i="5"/>
  <c r="E11" i="5" s="1"/>
  <c r="G33" i="8"/>
  <c r="G37" i="4" l="1"/>
  <c r="F68" i="4"/>
  <c r="I39" i="4"/>
  <c r="I67" i="4" s="1"/>
  <c r="H67" i="4"/>
  <c r="M66" i="4"/>
  <c r="M39" i="4"/>
  <c r="M40" i="4"/>
  <c r="G11" i="5"/>
  <c r="C12" i="5" s="1"/>
  <c r="H33" i="8"/>
  <c r="D97" i="4" l="1"/>
  <c r="E45" i="10"/>
  <c r="E47" i="10" s="1"/>
  <c r="D12" i="5"/>
  <c r="M67" i="4"/>
  <c r="N37" i="4"/>
  <c r="M68" i="4"/>
  <c r="G40" i="4"/>
  <c r="G65" i="4"/>
  <c r="F13" i="8" s="1"/>
  <c r="F15" i="8" s="1"/>
  <c r="N65" i="4" l="1"/>
  <c r="N38" i="4"/>
  <c r="F12" i="5"/>
  <c r="E12" i="5" s="1"/>
  <c r="G68" i="4"/>
  <c r="H37" i="4"/>
  <c r="G12" i="5" l="1"/>
  <c r="C13" i="5" s="1"/>
  <c r="N66" i="4"/>
  <c r="N39" i="4"/>
  <c r="H65" i="4"/>
  <c r="G13" i="8" s="1"/>
  <c r="G15" i="8" s="1"/>
  <c r="H40" i="4"/>
  <c r="N40" i="4"/>
  <c r="E97" i="4" l="1"/>
  <c r="F45" i="10"/>
  <c r="F47" i="10" s="1"/>
  <c r="N68" i="4"/>
  <c r="O37" i="4"/>
  <c r="I37" i="4"/>
  <c r="H68" i="4"/>
  <c r="D13" i="5"/>
  <c r="N67" i="4"/>
  <c r="O38" i="4" l="1"/>
  <c r="O40" i="4" s="1"/>
  <c r="O65" i="4"/>
  <c r="I65" i="4"/>
  <c r="H13" i="8" s="1"/>
  <c r="H15" i="8" s="1"/>
  <c r="I40" i="4"/>
  <c r="I68" i="4" s="1"/>
  <c r="F13" i="5"/>
  <c r="E13" i="5" s="1"/>
  <c r="O68" i="4" l="1"/>
  <c r="P37" i="4"/>
  <c r="G13" i="5"/>
  <c r="C14" i="5" s="1"/>
  <c r="O66" i="4"/>
  <c r="O39" i="4"/>
  <c r="F97" i="4" l="1"/>
  <c r="G45" i="10"/>
  <c r="G47" i="10" s="1"/>
  <c r="O67" i="4"/>
  <c r="P65" i="4"/>
  <c r="P38" i="4"/>
  <c r="P66" i="4" s="1"/>
  <c r="D14" i="5"/>
  <c r="G97" i="4" l="1"/>
  <c r="H45" i="10"/>
  <c r="H47" i="10" s="1"/>
  <c r="F14" i="5"/>
  <c r="E14" i="5" s="1"/>
  <c r="P40" i="4"/>
  <c r="P39" i="4"/>
  <c r="P68" i="4" l="1"/>
  <c r="Q37" i="4"/>
  <c r="P67" i="4"/>
  <c r="G14" i="5"/>
  <c r="C15" i="5" s="1"/>
  <c r="D15" i="5" l="1"/>
  <c r="F15" i="5" s="1"/>
  <c r="E15" i="5" s="1"/>
  <c r="G15" i="5" s="1"/>
  <c r="C16" i="5" s="1"/>
  <c r="Q38" i="4"/>
  <c r="Q40" i="4" s="1"/>
  <c r="Q68" i="4" s="1"/>
  <c r="Q65" i="4"/>
  <c r="D16" i="5" l="1"/>
  <c r="E16" i="5" s="1"/>
  <c r="G16" i="5" s="1"/>
  <c r="C17" i="5" s="1"/>
  <c r="Q66" i="4"/>
  <c r="Q39" i="4"/>
  <c r="Q67" i="4" s="1"/>
  <c r="H97" i="4" l="1"/>
  <c r="H98" i="4" s="1"/>
  <c r="H99" i="4" s="1"/>
  <c r="H50" i="7" s="1"/>
  <c r="I29" i="9" s="1"/>
  <c r="I30" i="9" s="1"/>
  <c r="I31" i="9" s="1"/>
  <c r="I45" i="10"/>
  <c r="I47" i="10" s="1"/>
  <c r="C49" i="10" s="1"/>
  <c r="D28" i="2" s="1"/>
  <c r="D17" i="5"/>
  <c r="E17" i="5" s="1"/>
  <c r="G17" i="5" s="1"/>
  <c r="C18" i="5" s="1"/>
  <c r="H51" i="7" l="1"/>
  <c r="J9" i="10" s="1"/>
  <c r="J14" i="10" s="1"/>
  <c r="D18" i="5"/>
  <c r="E18" i="5" s="1"/>
  <c r="G18" i="5" s="1"/>
  <c r="C19" i="5" s="1"/>
  <c r="H37" i="8" l="1"/>
  <c r="I58" i="10"/>
  <c r="I63" i="10" s="1"/>
  <c r="I67" i="10" s="1"/>
  <c r="J95" i="10"/>
  <c r="J98" i="10" s="1"/>
  <c r="D19" i="5"/>
  <c r="E19" i="5" s="1"/>
  <c r="G19" i="5" s="1"/>
  <c r="C20" i="5" s="1"/>
  <c r="J15" i="10"/>
  <c r="D20" i="5" l="1"/>
  <c r="E20" i="5" s="1"/>
  <c r="G20" i="5" s="1"/>
  <c r="C21" i="5" s="1"/>
  <c r="D21" i="5" l="1"/>
  <c r="E21" i="5" l="1"/>
  <c r="C26" i="9"/>
  <c r="B47" i="7" s="1"/>
  <c r="B49" i="7" s="1"/>
  <c r="B95" i="4" l="1"/>
  <c r="B98" i="4" s="1"/>
  <c r="B99" i="4" s="1"/>
  <c r="B50" i="7" s="1"/>
  <c r="C29" i="9" s="1"/>
  <c r="C25" i="9"/>
  <c r="G21" i="5"/>
  <c r="B28" i="8" l="1"/>
  <c r="B31" i="8" s="1"/>
  <c r="C22" i="5"/>
  <c r="C112" i="10"/>
  <c r="C114" i="10" s="1"/>
  <c r="C30" i="9"/>
  <c r="B51" i="7"/>
  <c r="C31" i="9" l="1"/>
  <c r="C33" i="9" s="1"/>
  <c r="D95" i="10"/>
  <c r="D98" i="10" s="1"/>
  <c r="D99" i="10" s="1"/>
  <c r="C58" i="10"/>
  <c r="C63" i="10" s="1"/>
  <c r="C67" i="10" s="1"/>
  <c r="B53" i="7"/>
  <c r="D9" i="10"/>
  <c r="D14" i="10" s="1"/>
  <c r="D22" i="5"/>
  <c r="B8" i="8" l="1"/>
  <c r="B11" i="8" s="1"/>
  <c r="B20" i="8" s="1"/>
  <c r="D32" i="9"/>
  <c r="E22" i="5"/>
  <c r="D15" i="10"/>
  <c r="B37" i="8"/>
  <c r="B39" i="8" s="1"/>
  <c r="C36" i="8" l="1"/>
  <c r="B41" i="8"/>
  <c r="B43" i="8" s="1"/>
  <c r="B46" i="8" s="1"/>
  <c r="G22" i="5"/>
  <c r="C23" i="5" s="1"/>
  <c r="D23" i="5" l="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C47" i="7" s="1"/>
  <c r="C49" i="7" s="1"/>
  <c r="C95" i="4" l="1"/>
  <c r="C98" i="4" s="1"/>
  <c r="C99" i="4" s="1"/>
  <c r="C50" i="7" s="1"/>
  <c r="D29" i="9" s="1"/>
  <c r="D25" i="9"/>
  <c r="G33" i="5"/>
  <c r="D112" i="10" l="1"/>
  <c r="D114" i="10" s="1"/>
  <c r="D30" i="9"/>
  <c r="D31" i="9" s="1"/>
  <c r="D33" i="9" s="1"/>
  <c r="C34" i="5"/>
  <c r="C28" i="8"/>
  <c r="C31" i="8" s="1"/>
  <c r="C51" i="7"/>
  <c r="D34" i="5" l="1"/>
  <c r="E95" i="10"/>
  <c r="E98" i="10" s="1"/>
  <c r="E99" i="10" s="1"/>
  <c r="C37" i="8"/>
  <c r="C39" i="8" s="1"/>
  <c r="D58" i="10"/>
  <c r="D63" i="10" s="1"/>
  <c r="D67" i="10" s="1"/>
  <c r="E9" i="10"/>
  <c r="E14" i="10" s="1"/>
  <c r="C53" i="7"/>
  <c r="E32" i="9"/>
  <c r="C8" i="8"/>
  <c r="C11" i="8" s="1"/>
  <c r="C20" i="8" s="1"/>
  <c r="E15" i="10" l="1"/>
  <c r="E34" i="5"/>
  <c r="D36" i="8"/>
  <c r="C41" i="8"/>
  <c r="C43" i="8" s="1"/>
  <c r="C46" i="8" s="1"/>
  <c r="G34" i="5" l="1"/>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D47" i="7" s="1"/>
  <c r="D49" i="7" s="1"/>
  <c r="D95" i="4" l="1"/>
  <c r="D98" i="4" s="1"/>
  <c r="D99" i="4" s="1"/>
  <c r="D50" i="7" s="1"/>
  <c r="E29" i="9" s="1"/>
  <c r="E25" i="9"/>
  <c r="G45" i="5"/>
  <c r="E30" i="9" l="1"/>
  <c r="E31" i="9" s="1"/>
  <c r="E33" i="9" s="1"/>
  <c r="E112" i="10"/>
  <c r="E114" i="10" s="1"/>
  <c r="D51" i="7"/>
  <c r="D28" i="8"/>
  <c r="D31" i="8" s="1"/>
  <c r="C46" i="5"/>
  <c r="F95" i="10" l="1"/>
  <c r="F98" i="10" s="1"/>
  <c r="F99" i="10" s="1"/>
  <c r="E58" i="10"/>
  <c r="E63" i="10" s="1"/>
  <c r="E67" i="10" s="1"/>
  <c r="F9" i="10"/>
  <c r="F14" i="10" s="1"/>
  <c r="D37" i="8"/>
  <c r="D39" i="8" s="1"/>
  <c r="D53" i="7"/>
  <c r="D46" i="5"/>
  <c r="F32" i="9"/>
  <c r="D8" i="8"/>
  <c r="D11" i="8" s="1"/>
  <c r="D20" i="8" s="1"/>
  <c r="E46" i="5" l="1"/>
  <c r="E36" i="8"/>
  <c r="D41" i="8"/>
  <c r="D43" i="8" s="1"/>
  <c r="D46" i="8" s="1"/>
  <c r="F15" i="10"/>
  <c r="G46" i="5" l="1"/>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E47" i="7" s="1"/>
  <c r="E49" i="7" s="1"/>
  <c r="E95" i="4" l="1"/>
  <c r="E98" i="4" s="1"/>
  <c r="E99" i="4" s="1"/>
  <c r="E50" i="7" s="1"/>
  <c r="F29" i="9" s="1"/>
  <c r="F25" i="9"/>
  <c r="G57" i="5"/>
  <c r="C58" i="5" l="1"/>
  <c r="E28" i="8"/>
  <c r="E31" i="8" s="1"/>
  <c r="F112" i="10"/>
  <c r="F114" i="10" s="1"/>
  <c r="F30" i="9"/>
  <c r="F31" i="9" s="1"/>
  <c r="F33" i="9" s="1"/>
  <c r="E51" i="7"/>
  <c r="G32" i="9" l="1"/>
  <c r="E8" i="8"/>
  <c r="E11" i="8" s="1"/>
  <c r="E20" i="8" s="1"/>
  <c r="F58" i="10"/>
  <c r="F63" i="10" s="1"/>
  <c r="F67" i="10" s="1"/>
  <c r="G9" i="10"/>
  <c r="G14" i="10" s="1"/>
  <c r="G95" i="10"/>
  <c r="G98" i="10" s="1"/>
  <c r="G99" i="10" s="1"/>
  <c r="E37" i="8"/>
  <c r="E39" i="8" s="1"/>
  <c r="E53" i="7"/>
  <c r="D58" i="5"/>
  <c r="F36" i="8" l="1"/>
  <c r="E41" i="8"/>
  <c r="E43" i="8" s="1"/>
  <c r="E46" i="8" s="1"/>
  <c r="E58" i="5"/>
  <c r="G15" i="10"/>
  <c r="G58" i="5" l="1"/>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F47" i="7" s="1"/>
  <c r="F49" i="7" s="1"/>
  <c r="F95" i="4" l="1"/>
  <c r="F98" i="4" s="1"/>
  <c r="F99" i="4" s="1"/>
  <c r="F50" i="7" s="1"/>
  <c r="G29" i="9" s="1"/>
  <c r="G25" i="9"/>
  <c r="G69" i="5"/>
  <c r="G30" i="9" l="1"/>
  <c r="G31" i="9" s="1"/>
  <c r="G33" i="9" s="1"/>
  <c r="G112" i="10"/>
  <c r="C70" i="5"/>
  <c r="F28" i="8"/>
  <c r="F31" i="8" s="1"/>
  <c r="F51" i="7"/>
  <c r="F37" i="8" l="1"/>
  <c r="F39" i="8" s="1"/>
  <c r="G58" i="10"/>
  <c r="G63" i="10" s="1"/>
  <c r="G67" i="10" s="1"/>
  <c r="H95" i="10"/>
  <c r="H98" i="10" s="1"/>
  <c r="D101" i="10" s="1"/>
  <c r="H9" i="10"/>
  <c r="H14" i="10" s="1"/>
  <c r="F53" i="7"/>
  <c r="D70" i="5"/>
  <c r="E70" i="5" s="1"/>
  <c r="H32" i="9"/>
  <c r="F8" i="8"/>
  <c r="F11" i="8" s="1"/>
  <c r="F20" i="8" s="1"/>
  <c r="D32" i="2" l="1"/>
  <c r="H99" i="10"/>
  <c r="G36" i="8"/>
  <c r="F41" i="8"/>
  <c r="F43" i="8" s="1"/>
  <c r="F46" i="8" s="1"/>
  <c r="H15" i="10"/>
  <c r="G70" i="5" l="1"/>
  <c r="C71" i="5" s="1"/>
  <c r="D71" i="5" l="1"/>
  <c r="E71" i="5" s="1"/>
  <c r="G71" i="5" l="1"/>
  <c r="C72" i="5" s="1"/>
  <c r="D72" i="5" l="1"/>
  <c r="E72" i="5" s="1"/>
  <c r="G72" i="5" l="1"/>
  <c r="C73" i="5" s="1"/>
  <c r="D73" i="5" l="1"/>
  <c r="E73" i="5" s="1"/>
  <c r="G73" i="5" l="1"/>
  <c r="C74" i="5" s="1"/>
  <c r="D74" i="5" l="1"/>
  <c r="E74" i="5" s="1"/>
  <c r="G74" i="5" l="1"/>
  <c r="C75" i="5" s="1"/>
  <c r="D75" i="5" l="1"/>
  <c r="E75" i="5" l="1"/>
  <c r="G75" i="5" s="1"/>
  <c r="C76" i="5" s="1"/>
  <c r="D76" i="5" s="1"/>
  <c r="E76" i="5" l="1"/>
  <c r="G76" i="5" s="1"/>
  <c r="C77" i="5" s="1"/>
  <c r="D77" i="5" s="1"/>
  <c r="E77" i="5" l="1"/>
  <c r="G77" i="5" s="1"/>
  <c r="C78" i="5" s="1"/>
  <c r="D78" i="5" s="1"/>
  <c r="E78" i="5" l="1"/>
  <c r="G78" i="5" s="1"/>
  <c r="C79" i="5" s="1"/>
  <c r="D79" i="5" s="1"/>
  <c r="E79" i="5" l="1"/>
  <c r="G79" i="5" s="1"/>
  <c r="C80" i="5" s="1"/>
  <c r="D80" i="5" s="1"/>
  <c r="E80" i="5" l="1"/>
  <c r="G80" i="5" s="1"/>
  <c r="C81" i="5" s="1"/>
  <c r="D81" i="5" s="1"/>
  <c r="E81" i="5" s="1"/>
  <c r="D88" i="5" l="1"/>
  <c r="H26" i="9"/>
  <c r="G47" i="7" s="1"/>
  <c r="G49" i="7" s="1"/>
  <c r="G95" i="4" l="1"/>
  <c r="G98" i="4" s="1"/>
  <c r="G99" i="4" s="1"/>
  <c r="G50" i="7" s="1"/>
  <c r="H29" i="9" s="1"/>
  <c r="E88" i="5"/>
  <c r="H25" i="9"/>
  <c r="G81" i="5"/>
  <c r="G28" i="8" s="1"/>
  <c r="G31" i="8" s="1"/>
  <c r="H112" i="10" l="1"/>
  <c r="C116" i="10" s="1"/>
  <c r="D33" i="2" s="1"/>
  <c r="H30" i="9"/>
  <c r="H31" i="9" s="1"/>
  <c r="H33" i="9" s="1"/>
  <c r="G51" i="7"/>
  <c r="H58" i="10" l="1"/>
  <c r="H63" i="10" s="1"/>
  <c r="H67" i="10" s="1"/>
  <c r="C69" i="10" s="1"/>
  <c r="C73" i="10" s="1"/>
  <c r="D31" i="2" s="1"/>
  <c r="G37" i="8"/>
  <c r="G39" i="8" s="1"/>
  <c r="I9" i="10"/>
  <c r="I14" i="10" s="1"/>
  <c r="I95" i="10"/>
  <c r="I98" i="10" s="1"/>
  <c r="G53" i="7"/>
  <c r="H53" i="7" s="1"/>
  <c r="I32" i="9"/>
  <c r="I33" i="9" s="1"/>
  <c r="H8" i="8" s="1"/>
  <c r="H11" i="8" s="1"/>
  <c r="H20" i="8" s="1"/>
  <c r="G8" i="8"/>
  <c r="G11" i="8" s="1"/>
  <c r="G20" i="8" s="1"/>
  <c r="I15" i="10" l="1"/>
  <c r="C16" i="10" s="1"/>
  <c r="D18" i="10" s="1"/>
  <c r="H36" i="8"/>
  <c r="H39" i="8" s="1"/>
  <c r="H41" i="8" s="1"/>
  <c r="H43" i="8" s="1"/>
  <c r="H46" i="8" s="1"/>
  <c r="G41" i="8"/>
  <c r="G43" i="8" s="1"/>
  <c r="G46" i="8" s="1"/>
  <c r="D30" i="2" l="1"/>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<sst xmlns="http://schemas.openxmlformats.org/spreadsheetml/2006/main" count="1498" uniqueCount="779">
  <si>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</si>
  <si>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</si>
  <si>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</si>
  <si>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</si>
  <si>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</si>
  <si>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</si>
  <si>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</si>
  <si>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</si>
  <si>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</si>
  <si>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</si>
  <si>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</si>
  <si>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</si>
  <si>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</si>
  <si>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</si>
  <si>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</si>
  <si>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</si>
  <si>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</si>
  <si>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</si>
  <si>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</si>
  <si>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</si>
  <si>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</si>
  <si>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</si>
  <si>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</si>
  <si>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</si>
  <si>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</si>
  <si>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</si>
  <si>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</si>
  <si>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</si>
  <si>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</si>
  <si>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</si>
  <si>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</si>
  <si>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</si>
  <si>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</si>
  <si>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</si>
  <si>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</si>
  <si>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</si>
  <si>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</si>
  <si>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</si>
  <si>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</si>
  <si>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</si>
  <si>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</si>
  <si>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</si>
  <si>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</si>
  <si>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</si>
  <si>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</si>
  <si>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</si>
  <si>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</si>
  <si>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</si>
  <si>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</si>
  <si>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</si>
  <si>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</si>
  <si>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</si>
  <si>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</si>
  <si>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</si>
  <si>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</si>
  <si>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</si>
  <si>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</si>
  <si>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</si>
  <si>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</si>
  <si>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</si>
  <si>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</si>
  <si>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</si>
  <si>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</si>
  <si>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</si>
  <si>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</si>
  <si>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</si>
  <si>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</si>
  <si>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</si>
  <si>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</si>
  <si>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</si>
  <si>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</si>
  <si>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</si>
  <si>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</si>
  <si>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</si>
  <si>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</si>
  <si>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</si>
  <si>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</si>
  <si>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</si>
  <si>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</si>
  <si>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</si>
  <si>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</si>
  <si>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</si>
  <si>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</si>
  <si>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</si>
  <si>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</si>
  <si>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</si>
  <si>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</si>
  <si>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</si>
  <si>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</si>
  <si>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</si>
  <si>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</si>
  <si>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</si>
  <si>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</si>
  <si>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</si>
  <si>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</si>
  <si>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</si>
  <si>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</si>
  <si>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</si>
  <si>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</si>
  <si>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</si>
  <si>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</si>
  <si>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</si>
  <si>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</si>
  <si>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</si>
  <si>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</si>
  <si>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</si>
  <si>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</si>
  <si>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</si>
  <si>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</si>
  <si>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</si>
  <si>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</si>
  <si>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</si>
  <si>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</si>
  <si>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</si>
  <si>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</si>
  <si>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</si>
  <si>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</si>
  <si>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</si>
  <si>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</si>
  <si>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</si>
  <si>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</si>
  <si>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</si>
  <si>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</si>
  <si>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</si>
  <si>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</si>
  <si>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</si>
  <si>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</si>
  <si>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</si>
  <si>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</si>
  <si>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</si>
  <si>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</si>
  <si>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</si>
  <si>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</si>
  <si>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</si>
  <si>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</si>
  <si>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</si>
  <si>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</si>
  <si>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</si>
  <si>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</si>
  <si>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</si>
  <si>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</si>
  <si>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</si>
  <si>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</si>
  <si>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</si>
  <si>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</si>
  <si>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</si>
  <si>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</si>
  <si>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</si>
  <si>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</si>
  <si>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</si>
  <si>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</si>
  <si>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</si>
  <si>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</si>
  <si>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</si>
  <si>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</si>
  <si>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</si>
  <si>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</si>
  <si>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</si>
  <si>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</si>
  <si>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</si>
  <si>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</si>
  <si>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</si>
  <si>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</si>
  <si>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</si>
  <si>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</si>
  <si>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</si>
  <si>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</si>
  <si>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</si>
  <si>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</si>
  <si>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</si>
  <si>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</si>
  <si>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</si>
  <si>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</si>
  <si>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</si>
  <si>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</si>
  <si>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</si>
  <si>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</si>
  <si>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</si>
  <si>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</si>
  <si>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</si>
  <si>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</si>
  <si>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</si>
  <si>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</si>
  <si>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</si>
  <si>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</si>
  <si>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</si>
  <si>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</si>
  <si>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</si>
  <si>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</si>
  <si>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</si>
  <si>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</si>
  <si>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</si>
  <si>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</si>
  <si>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</si>
  <si>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</si>
  <si>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</si>
  <si>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</si>
  <si>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</si>
  <si>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</si>
  <si>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</si>
  <si>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</si>
  <si>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</si>
  <si>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</si>
  <si>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</si>
  <si>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</si>
  <si>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</si>
  <si>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</si>
  <si>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</si>
  <si>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</si>
  <si>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</si>
  <si>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</si>
  <si>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</si>
  <si>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</si>
  <si>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</si>
  <si>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74</t>
  </si>
  <si>
    <t>Month 75</t>
  </si>
  <si>
    <t>Month 76</t>
  </si>
  <si>
    <t>Month 77</t>
  </si>
  <si>
    <t>Month 78</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</si>
  <si>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</si>
  <si>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</si>
  <si>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</si>
  <si>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</si>
  <si>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</si>
  <si>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</si>
  <si>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</si>
  <si>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</si>
  <si>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</si>
  <si>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</si>
  <si>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</si>
  <si>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</si>
  <si>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</si>
  <si>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</si>
  <si>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</si>
  <si>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</si>
  <si>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</si>
  <si>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</si>
  <si>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</si>
  <si>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</si>
  <si>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</si>
  <si>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</si>
  <si>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</si>
  <si>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</si>
  <si>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</si>
  <si>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</si>
  <si>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</si>
  <si>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</si>
  <si>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</si>
  <si>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</si>
  <si>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</si>
  <si>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</si>
  <si>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</si>
  <si>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</si>
  <si>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</si>
  <si>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</si>
  <si>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</si>
  <si>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</si>
  <si>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</si>
  <si>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</si>
  <si>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</si>
  <si>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</si>
  <si>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</si>
  <si>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</si>
  <si>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</si>
  <si>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</si>
  <si>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</si>
  <si>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</si>
  <si>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</si>
  <si>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</si>
  <si>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</si>
  <si>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</si>
  <si>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</si>
  <si>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</si>
  <si>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</si>
  <si>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</si>
  <si>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</si>
  <si>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</si>
  <si>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</si>
  <si>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</si>
  <si>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</si>
  <si>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</si>
  <si>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</si>
  <si>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</si>
  <si>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</si>
  <si>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</si>
  <si>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</si>
  <si>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</si>
  <si>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</si>
  <si>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</si>
  <si>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</si>
  <si>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</si>
  <si>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</si>
  <si>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</si>
  <si>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</si>
  <si>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</si>
  <si>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</si>
  <si>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</si>
  <si>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</si>
  <si>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</si>
  <si>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</si>
  <si>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</si>
  <si>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</si>
  <si>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</si>
  <si>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</si>
  <si>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</si>
  <si>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</si>
  <si>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</si>
  <si>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</si>
  <si>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</si>
  <si>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</si>
  <si>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</si>
  <si>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Red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</si>
  <si>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</si>
  <si>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</si>
  <si>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</si>
  <si>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</si>
  <si>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</si>
  <si>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</si>
  <si>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</si>
  <si>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</si>
  <si>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</si>
  <si>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</si>
  <si>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</si>
  <si>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</si>
  <si>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</si>
  <si>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</si>
  <si>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</si>
  <si>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</si>
  <si>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</si>
  <si>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</si>
  <si>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</si>
  <si>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</si>
  <si>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</si>
  <si>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</si>
  <si>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</si>
  <si>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</si>
  <si>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</si>
  <si>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</si>
  <si>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</si>
  <si>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</si>
  <si>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</si>
  <si>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</si>
  <si>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</si>
  <si>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</si>
  <si>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</si>
  <si>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</si>
  <si>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</si>
  <si>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</si>
  <si>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</si>
  <si>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</si>
  <si>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</si>
  <si>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</si>
  <si>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</si>
  <si>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</si>
  <si>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</si>
  <si>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</si>
  <si>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</si>
  <si>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</si>
  <si>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</si>
  <si>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</si>
  <si>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</si>
  <si>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</si>
  <si>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</si>
  <si>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</si>
  <si>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</si>
  <si>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</si>
  <si>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</si>
  <si>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</si>
  <si>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</si>
  <si>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</si>
  <si>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</si>
  <si>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</si>
  <si>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</si>
  <si>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</si>
  <si>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Net present value (at a discount rate of 10 per cent)</t>
  </si>
  <si>
    <t>Positive</t>
  </si>
  <si>
    <t>Payback period</t>
  </si>
  <si>
    <t>Debt Service Coverage Ratio (DSCR)</t>
  </si>
  <si>
    <t>NPV is high and positive at a conservative project life of 7 years</t>
  </si>
  <si>
    <t>&lt;7 years</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</si>
  <si>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</si>
  <si>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</si>
  <si>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</si>
  <si>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</si>
  <si>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</si>
  <si>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</si>
  <si>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</si>
  <si>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</si>
  <si>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</si>
  <si>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</si>
  <si>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</si>
  <si>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</si>
  <si>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</si>
  <si>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</si>
  <si>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</si>
  <si>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</si>
  <si>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</si>
  <si>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</si>
  <si>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</si>
  <si>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</si>
  <si>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</si>
  <si>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</si>
  <si>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</si>
  <si>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</si>
  <si>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</si>
  <si>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</si>
  <si>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</si>
  <si>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</si>
  <si>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</si>
  <si>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</si>
  <si>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</si>
  <si>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</si>
  <si>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</si>
  <si>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</si>
  <si>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</si>
  <si>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</si>
  <si>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</si>
  <si>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</si>
  <si>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</si>
  <si>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</si>
  <si>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</si>
  <si>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</si>
  <si>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</si>
  <si>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</si>
  <si>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</si>
  <si>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</si>
  <si>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</si>
  <si>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</si>
  <si>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</si>
  <si>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</si>
  <si>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</si>
  <si>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</si>
  <si>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</si>
  <si>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</si>
  <si>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</si>
  <si>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</si>
  <si>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</si>
  <si>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</si>
  <si>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</si>
  <si>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</si>
  <si>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</si>
  <si>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</si>
  <si>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</si>
  <si>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</si>
  <si>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</si>
  <si>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</si>
  <si>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</si>
  <si>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</si>
  <si>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</si>
  <si>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</si>
  <si>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</si>
  <si>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</si>
  <si>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</si>
  <si>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</si>
  <si>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</si>
  <si>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</si>
  <si>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</si>
  <si>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</si>
  <si>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</si>
  <si>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</si>
  <si>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</si>
  <si>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</si>
  <si>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</si>
  <si>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</si>
  <si>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</si>
  <si>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</si>
  <si>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</si>
  <si>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</si>
  <si>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</si>
  <si>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</si>
  <si>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</si>
  <si>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</si>
  <si>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</si>
  <si>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</si>
  <si>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</si>
  <si>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</si>
  <si>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</si>
  <si>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</si>
  <si>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</si>
  <si>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</si>
  <si>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</si>
  <si>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</si>
  <si>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</si>
  <si>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</si>
  <si>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</si>
  <si>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</si>
  <si>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</si>
  <si>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</si>
  <si>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</si>
  <si>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</si>
  <si>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</si>
  <si>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</si>
  <si>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</si>
  <si>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</si>
  <si>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</si>
  <si>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</si>
  <si>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</si>
  <si>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</si>
  <si>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</si>
  <si>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</si>
  <si>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</si>
  <si>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</si>
  <si>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</si>
  <si>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</si>
  <si>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</si>
  <si>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</si>
  <si>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</si>
  <si>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</si>
  <si>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</si>
  <si>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</si>
  <si>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</si>
  <si>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</si>
  <si>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</si>
  <si>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</si>
  <si>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</si>
  <si>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</si>
  <si>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</si>
  <si>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</si>
  <si>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</si>
  <si>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</si>
  <si>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</si>
  <si>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</si>
  <si>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</si>
  <si>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</si>
  <si>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</si>
  <si>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</si>
  <si>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</si>
  <si>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</si>
  <si>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</si>
  <si>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</si>
  <si>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</si>
  <si>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</si>
  <si>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</si>
  <si>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</si>
  <si>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</si>
  <si>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</si>
  <si>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</si>
  <si>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</si>
  <si>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</si>
  <si>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</si>
  <si>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</si>
  <si>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</si>
  <si>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</si>
  <si>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</si>
  <si>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</si>
  <si>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</si>
  <si>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</si>
  <si>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</si>
  <si>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</si>
  <si>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</si>
  <si>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</si>
  <si>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</si>
  <si>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</si>
  <si>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</si>
  <si>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</si>
  <si>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</si>
  <si>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</si>
  <si>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</si>
  <si>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</si>
  <si>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</si>
  <si>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</si>
  <si>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</si>
  <si>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</si>
  <si>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</si>
  <si>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</si>
  <si>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</si>
  <si>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</si>
  <si>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</si>
  <si>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</si>
  <si>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</si>
  <si>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</si>
  <si>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</si>
  <si>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</si>
  <si>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</si>
  <si>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</si>
  <si>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</si>
  <si>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</si>
  <si>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</si>
  <si>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</si>
  <si>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</si>
  <si>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</si>
  <si>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</si>
  <si>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</si>
  <si>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</si>
  <si>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</si>
  <si>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</si>
  <si>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</si>
  <si>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</si>
  <si>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</si>
  <si>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</si>
  <si>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</si>
  <si>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</si>
  <si>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</si>
  <si>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</si>
  <si>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</si>
  <si>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</si>
  <si>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</si>
  <si>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</si>
  <si>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</si>
  <si>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</si>
  <si>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</si>
  <si>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</si>
  <si>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</si>
  <si>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</si>
  <si>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With a discount rate of 10% and a span of 7 operational years, the NPV should be positive </t>
  </si>
  <si>
    <t xml:space="preserve">The Pack Back Period (Project/ Equity) shall be less than 7 years </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</si>
  <si>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</si>
  <si>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</si>
  <si>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</si>
  <si>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</si>
  <si>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</si>
  <si>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</si>
  <si>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</si>
  <si>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</si>
  <si>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</si>
  <si>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</si>
  <si>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</si>
  <si>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</si>
  <si>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</si>
  <si>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</si>
  <si>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</si>
  <si>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</si>
  <si>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</si>
  <si>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</si>
  <si>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</si>
  <si>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</si>
  <si>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</si>
  <si>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</si>
  <si>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</si>
  <si>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</si>
  <si>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</si>
  <si>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</si>
  <si>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</si>
  <si>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</si>
  <si>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</si>
  <si>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</si>
  <si>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</si>
  <si>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</si>
  <si>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</si>
  <si>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</si>
  <si>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</si>
  <si>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</si>
  <si>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</si>
  <si>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</si>
  <si>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</si>
  <si>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</si>
  <si>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</si>
  <si>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</si>
  <si>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</si>
  <si>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</si>
  <si>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</si>
  <si>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</si>
  <si>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</si>
  <si>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</si>
  <si>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</si>
  <si>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</si>
  <si>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</si>
  <si>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</si>
  <si>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</si>
  <si>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</si>
  <si>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</si>
  <si>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</si>
  <si>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</si>
  <si>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</si>
  <si>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</si>
  <si>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</si>
  <si>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</si>
  <si>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</si>
  <si>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</si>
  <si>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</si>
  <si>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</si>
  <si>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</si>
  <si>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</si>
  <si>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</si>
  <si>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</si>
  <si>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</si>
  <si>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</si>
  <si>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</si>
  <si>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</si>
  <si>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</si>
  <si>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Skilled Labour</t>
  </si>
  <si>
    <t>Lab Assistant</t>
  </si>
  <si>
    <t>Other Labour</t>
  </si>
  <si>
    <t xml:space="preserve">Preliminary Expenses etc. </t>
  </si>
  <si>
    <t xml:space="preserve">           &gt;1.5</t>
  </si>
  <si>
    <t>DSCR shall be more than 1.5 for better performing project.</t>
  </si>
  <si>
    <t xml:space="preserve">The project internal rate of return shall be more than 10% </t>
  </si>
  <si>
    <t>&gt;10%</t>
  </si>
  <si>
    <t>Job Work (80%)</t>
  </si>
  <si>
    <t>Quantity for sale (20%)</t>
  </si>
  <si>
    <t>Rent Agreement Cost</t>
  </si>
  <si>
    <t>9.3 Net Present Value</t>
  </si>
  <si>
    <r>
      <t>Add</t>
    </r>
    <r>
      <rPr>
        <sz val="11"/>
        <color indexed="8"/>
        <rFont val="Garamond"/>
        <family val="1"/>
      </rPr>
      <t>: Deprication</t>
    </r>
  </si>
  <si>
    <r>
      <t xml:space="preserve">The business plan financial calculator will be the tool to generate the financial projection of the business plan based on the certain data inputs. </t>
    </r>
    <r>
      <rPr>
        <b/>
        <sz val="11"/>
        <color rgb="FF000000"/>
        <rFont val="Garamond"/>
        <family val="1"/>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Garamond"/>
        <family val="1"/>
      </rPr>
      <t>1. Profit and Loss Statement
2. Cash Flow Statement
3. Balance Sheet
4</t>
    </r>
    <r>
      <rPr>
        <sz val="11"/>
        <color rgb="FFC00000"/>
        <rFont val="Garamond"/>
        <family val="1"/>
      </rPr>
      <t xml:space="preserve">. </t>
    </r>
    <r>
      <rPr>
        <sz val="11"/>
        <rFont val="Garamond"/>
        <family val="1"/>
      </rPr>
      <t xml:space="preserve">Depreciation, amortization and tax calculation </t>
    </r>
    <r>
      <rPr>
        <sz val="11"/>
        <color rgb="FF000000"/>
        <rFont val="Garamond"/>
        <family val="1"/>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Garamond"/>
        <family val="1"/>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</si>
  <si>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Garamond"/>
        <family val="1"/>
      </rPr>
      <t xml:space="preserve">. </t>
    </r>
  </si>
  <si>
    <t>Quantity for sale</t>
  </si>
  <si>
    <t>Quanity for Processing and Dal Mill</t>
  </si>
  <si>
    <t>Transport vehicle</t>
  </si>
  <si>
    <t>Internal road</t>
  </si>
  <si>
    <t>Packaging unit</t>
  </si>
  <si>
    <t>Packaging unit machine (250 gm to 1Kg)</t>
  </si>
  <si>
    <t>Packaging unit machine (5Kg to 25Kg)</t>
  </si>
  <si>
    <t>Packaging unit machine (20Kg to 50Kg)</t>
  </si>
  <si>
    <t>Bag (Pouch)</t>
  </si>
  <si>
    <t>Weigh bridge 60MT</t>
  </si>
  <si>
    <t>Office set upt</t>
  </si>
  <si>
    <t>Fire safety equipment</t>
  </si>
  <si>
    <t>Computer and other equipments</t>
  </si>
  <si>
    <t>Web disigning</t>
  </si>
  <si>
    <t>MSEB Connection</t>
  </si>
  <si>
    <t>Kinwat Parisar FPC</t>
  </si>
  <si>
    <t>Round Chana</t>
  </si>
  <si>
    <t>Elevetor</t>
  </si>
  <si>
    <t>Roll peti 10x27</t>
  </si>
  <si>
    <t>Chakki 18 seller</t>
  </si>
  <si>
    <t>Blower 10HP all set</t>
  </si>
  <si>
    <t>10HP</t>
  </si>
  <si>
    <t>Cyclon</t>
  </si>
  <si>
    <t>Varam</t>
  </si>
  <si>
    <t>Buff10x10x27 with Motor</t>
  </si>
  <si>
    <t>Varam 8x8 ft</t>
  </si>
  <si>
    <t>Motor 15HP</t>
  </si>
  <si>
    <t>15HP</t>
  </si>
  <si>
    <t>Motor polisher 5HP</t>
  </si>
  <si>
    <t>5HP</t>
  </si>
  <si>
    <t>Drayer complete1000Kg Power consetion 5+1 2800 rpm</t>
  </si>
  <si>
    <t>Electric panel board</t>
  </si>
  <si>
    <t xml:space="preserve">transporation </t>
  </si>
  <si>
    <t>Mtr</t>
  </si>
  <si>
    <t>Cable 8mm</t>
  </si>
  <si>
    <t>Motor</t>
  </si>
  <si>
    <t>Sub-total</t>
  </si>
  <si>
    <t>GST 5%</t>
  </si>
  <si>
    <t>V.B.BUCKET ELEVATOR(X5)</t>
  </si>
  <si>
    <t>1HP</t>
  </si>
  <si>
    <t>SEED GRADER/FINE-CLEANER-IB-4 MODEL</t>
  </si>
  <si>
    <t>FOUNDATION FRAME</t>
  </si>
  <si>
    <t>5-FAN-GRAVITY SEPARATOR-IB-4-MODEL</t>
  </si>
  <si>
    <t>7.5 HP</t>
  </si>
  <si>
    <t>Cleaining and grading 2 TPH</t>
  </si>
  <si>
    <t>DESTONER</t>
  </si>
  <si>
    <t>2HP</t>
  </si>
  <si>
    <t>SURGE BIN</t>
  </si>
  <si>
    <t>PANEL BOARD,CABLE &amp; FITTING</t>
  </si>
  <si>
    <t>EXTRA SCREEN</t>
  </si>
  <si>
    <t>BACKLOSER</t>
  </si>
  <si>
    <t>ERECTION CHARGES</t>
  </si>
  <si>
    <t>TRANSPORTING CHARGES</t>
  </si>
  <si>
    <t>GST@5%</t>
  </si>
  <si>
    <t>E</t>
  </si>
  <si>
    <t>F</t>
  </si>
  <si>
    <t xml:space="preserve">11 KV single circute supension </t>
  </si>
  <si>
    <t>0.5 Km</t>
  </si>
  <si>
    <t>Transformer 63 KVA</t>
  </si>
  <si>
    <t>63KVA</t>
  </si>
  <si>
    <t>L T Line</t>
  </si>
  <si>
    <t>0.2 Km</t>
  </si>
  <si>
    <t>Service Cost</t>
  </si>
  <si>
    <t>GST 18%</t>
  </si>
  <si>
    <t>GST 18% extra</t>
  </si>
  <si>
    <t>Own land</t>
  </si>
  <si>
    <t>Dall Mill and Cleaning and Grading processing Shed -372.10 Sq.Mtr</t>
  </si>
  <si>
    <t>Sq.Mtr</t>
  </si>
  <si>
    <t xml:space="preserve">Job Work </t>
  </si>
  <si>
    <t>Tumkey charges</t>
  </si>
  <si>
    <t xml:space="preserve">Warehouse 1020MT - </t>
  </si>
  <si>
    <t xml:space="preserve">90% efficiency </t>
  </si>
  <si>
    <t>3TPH</t>
  </si>
  <si>
    <t>1.5TPH</t>
  </si>
  <si>
    <t>Quantity of produce Aggregated and sold by CBO (tons)</t>
  </si>
  <si>
    <t>Soyabeen</t>
  </si>
  <si>
    <t>Tur</t>
  </si>
  <si>
    <t>Moong</t>
  </si>
  <si>
    <t>Bengal gram</t>
  </si>
  <si>
    <t>19-20</t>
  </si>
  <si>
    <t>20-21</t>
  </si>
  <si>
    <t>21-22</t>
  </si>
  <si>
    <t>Total in MT</t>
  </si>
  <si>
    <t>Quatntity in MT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</si>
</sst>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_(* \(#,##0.00\);_(* &quot;-&quot;??_);_(@_)"/>
    <numFmt numFmtId="164" formatCode="_ * #,##0.00_ ;_ * \-#,##0.00_ ;_ * &quot;-&quot;??_ ;_ @_ "/>
    <numFmt numFmtId="165" formatCode="_(* #,##0_);_(* \(#,##0\);_(* &quot;-&quot;??_);_(@_)"/>
    <numFmt numFmtId="166" formatCode="_-* #,##0_-;\-* #,##0_-;_-* &quot;-&quot;??_-;_-@_-"/>
    <numFmt numFmtId="167" formatCode="_-* #,##0.00_-;\-* #,##0.00_-;_-* &quot;-&quot;??_-;_-@_-"/>
    <numFmt numFmtId="168" formatCode="#,##0_);[Red]\!\(#,##0\!\)"/>
    <numFmt numFmtId="169" formatCode="#,##0_ ;[Red]\-#,##0\ "/>
    <numFmt numFmtId="170" formatCode="#,##0.00_ ;[Red]\-#,##0.00\ "/>
    <numFmt numFmtId="171" formatCode="&quot;Rs.&quot;\ #,##0.00;[Red]&quot;Rs.&quot;\ \-#,##0.00"/>
    <numFmt numFmtId="172" formatCode="0.0"/>
    <numFmt numFmtId="173" formatCode="#,##0_);\!\(#,##0\!\)"/>
    <numFmt numFmtId="174" formatCode="_ * #,##0_ ;_ * \-#,##0_ ;_ * &quot;-&quot;??_ ;_ @_ "/>
    <numFmt numFmtId="175" formatCode="_ * #,##0.0_ ;_ * \-#,##0.0_ ;_ * &quot;-&quot;??_ ;_ @_ "/>
    <numFmt numFmtId="176" formatCode="0.0%"/>
    <numFmt numFmtId="177" formatCode="_-&quot;£&quot;* #,##0.00_-;\-&quot;£&quot;* #,##0.00_-;_-&quot;£&quot;* &quot;-&quot;??_-;_-@_-"/>
    <numFmt numFmtId="178" formatCode="_(* #,##0.0_);_(* \(#,##0.0\);_(* &quot;-&quot;??_);_(@_)"/>
    <numFmt numFmtId="179" formatCode="_(* #,##0.000_);_(* \(#,##0.000\);_(* &quot;-&quot;??_);_(@_)"/>
  </numFmts>
  <fonts count="74" x14ac:knownFonts="1">
    <font>
      <sz val="11"/>
      <name val="Calibri"/>
    </font>
    <font>
      <sz val="11"/>
      <color rgb="FF000000"/>
      <name val="Calibri"/>
      <family val="2"/>
    </font>
    <font>
      <b/>
      <sz val="11"/>
      <color rgb="FF000000"/>
      <name val="Calibri"/>
      <family val="2"/>
    </font>
    <font>
      <b/>
      <sz val="14"/>
      <color rgb="FF000000"/>
      <name val="Times New Roman"/>
      <family val="1"/>
    </font>
    <font>
      <sz val="11"/>
      <color rgb="FF000000"/>
      <name val="Times New Roman"/>
      <family val="1"/>
    </font>
    <font>
      <b/>
      <sz val="11"/>
      <color rgb="FF000000"/>
      <name val="Times New Roman"/>
      <family val="1"/>
    </font>
    <font>
      <b/>
      <sz val="11"/>
      <color rgb="FFFFFFFF"/>
      <name val="Times New Roman"/>
      <family val="1"/>
    </font>
    <font>
      <b/>
      <sz val="14"/>
      <name val="Times New Roman"/>
      <family val="1"/>
    </font>
    <font>
      <sz val="11"/>
      <color indexed="8"/>
      <name val="Calibri"/>
      <family val="2"/>
    </font>
    <font>
      <b/>
      <sz val="11"/>
      <color rgb="FFFFFFFF"/>
      <name val="Calibri"/>
      <family val="2"/>
    </font>
    <font>
      <sz val="11"/>
      <color rgb="FFFFFFFF"/>
      <name val="Calibri"/>
      <family val="2"/>
    </font>
    <font>
      <sz val="11"/>
      <color rgb="FF000000"/>
      <name val="Calibri"/>
      <family val="2"/>
    </font>
    <font>
      <sz val="10"/>
      <name val="Arial"/>
      <family val="2"/>
    </font>
    <font>
      <u/>
      <sz val="10"/>
      <color indexed="12"/>
      <name val="Arial"/>
      <family val="2"/>
    </font>
    <font>
      <b/>
      <sz val="14"/>
      <color rgb="FF000000"/>
      <name val="Times New Roman"/>
      <family val="1"/>
    </font>
    <font>
      <sz val="11"/>
      <color rgb="FF000000"/>
      <name val="Calibri"/>
      <family val="2"/>
    </font>
    <font>
      <b/>
      <sz val="14"/>
      <color rgb="FF000000"/>
      <name val="Garamond"/>
      <family val="1"/>
    </font>
    <font>
      <sz val="11"/>
      <name val="Garamond"/>
      <family val="1"/>
    </font>
    <font>
      <sz val="11"/>
      <color rgb="FF000000"/>
      <name val="Garamond"/>
      <family val="1"/>
    </font>
    <font>
      <b/>
      <sz val="11"/>
      <color rgb="FFFFFFFF"/>
      <name val="Garamond"/>
      <family val="1"/>
    </font>
    <font>
      <b/>
      <sz val="11"/>
      <color rgb="FF000000"/>
      <name val="Garamond"/>
      <family val="1"/>
    </font>
    <font>
      <b/>
      <sz val="14"/>
      <name val="Garamond"/>
      <family val="1"/>
    </font>
    <font>
      <b/>
      <sz val="11"/>
      <name val="Garamond"/>
      <family val="1"/>
    </font>
    <font>
      <sz val="11"/>
      <color rgb="FFFFFFFF"/>
      <name val="Garamond"/>
      <family val="1"/>
    </font>
    <font>
      <b/>
      <sz val="14"/>
      <color indexed="8"/>
      <name val="Garamond"/>
      <family val="1"/>
    </font>
    <font>
      <sz val="13"/>
      <color indexed="8"/>
      <name val="Garamond"/>
      <family val="1"/>
    </font>
    <font>
      <sz val="12"/>
      <color rgb="FFFFFFFF"/>
      <name val="Garamond"/>
      <family val="1"/>
    </font>
    <font>
      <sz val="12"/>
      <color rgb="FFFF0000"/>
      <name val="Garamond"/>
      <family val="1"/>
    </font>
    <font>
      <sz val="11"/>
      <color indexed="8"/>
      <name val="Garamond"/>
      <family val="1"/>
    </font>
    <font>
      <b/>
      <sz val="11"/>
      <color indexed="8"/>
      <name val="Garamond"/>
      <family val="1"/>
    </font>
    <font>
      <sz val="13"/>
      <name val="Garamond"/>
      <family val="1"/>
    </font>
    <font>
      <b/>
      <sz val="11"/>
      <color rgb="FF202122"/>
      <name val="Garamond"/>
      <family val="1"/>
    </font>
    <font>
      <b/>
      <sz val="11"/>
      <color rgb="FF202124"/>
      <name val="Garamond"/>
      <family val="1"/>
    </font>
    <font>
      <b/>
      <sz val="12"/>
      <color rgb="FFFFFFFF"/>
      <name val="Garamond"/>
      <family val="1"/>
    </font>
    <font>
      <sz val="12"/>
      <color indexed="8"/>
      <name val="Garamond"/>
      <family val="1"/>
    </font>
    <font>
      <sz val="12"/>
      <name val="Garamond"/>
      <family val="1"/>
    </font>
    <font>
      <b/>
      <sz val="16"/>
      <color rgb="FF000000"/>
      <name val="Garamond"/>
      <family val="1"/>
    </font>
    <font>
      <b/>
      <sz val="11"/>
      <color rgb="FF111111"/>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b/>
      <sz val="11"/>
      <color rgb="FF222222"/>
      <name val="Garamond"/>
      <family val="1"/>
    </font>
    <font>
      <sz val="8"/>
      <color rgb="FF222222"/>
      <name val="Garamond"/>
      <family val="1"/>
    </font>
    <font>
      <b/>
      <sz val="11"/>
      <color rgb="FF272727"/>
      <name val="Garamond"/>
      <family val="1"/>
    </font>
    <font>
      <sz val="10"/>
      <color rgb="FF424142"/>
      <name val="Garamond"/>
      <family val="1"/>
    </font>
    <font>
      <b/>
      <sz val="8"/>
      <color rgb="FF202124"/>
      <name val="Garamond"/>
      <family val="1"/>
    </font>
    <font>
      <b/>
      <sz val="9"/>
      <name val="Garamond"/>
      <family val="1"/>
    </font>
    <font>
      <sz val="9"/>
      <name val="Garamond"/>
      <family val="1"/>
    </font>
    <font>
      <b/>
      <u/>
      <sz val="11"/>
      <color indexed="8"/>
      <name val="Garamond"/>
      <family val="1"/>
    </font>
    <font>
      <b/>
      <i/>
      <sz val="11"/>
      <color indexed="8"/>
      <name val="Garamond"/>
      <family val="1"/>
    </font>
    <font>
      <b/>
      <u/>
      <sz val="11"/>
      <color indexed="12"/>
      <name val="Garamond"/>
      <family val="1"/>
    </font>
    <font>
      <b/>
      <sz val="10"/>
      <color rgb="FFFFFFFF"/>
      <name val="Garamond"/>
      <family val="1"/>
    </font>
    <font>
      <sz val="10"/>
      <color rgb="FF000000"/>
      <name val="Garamond"/>
      <family val="1"/>
    </font>
    <font>
      <b/>
      <sz val="10"/>
      <color rgb="FF000000"/>
      <name val="Garamond"/>
      <family val="1"/>
    </font>
    <font>
      <b/>
      <sz val="8"/>
      <name val="Garamond"/>
      <family val="1"/>
    </font>
    <font>
      <b/>
      <sz val="24"/>
      <color rgb="FF000000"/>
      <name val="Garamond"/>
      <family val="1"/>
    </font>
    <font>
      <b/>
      <u/>
      <sz val="18"/>
      <color rgb="FF000000"/>
      <name val="Garamond"/>
      <family val="1"/>
    </font>
    <font>
      <b/>
      <sz val="18"/>
      <color rgb="FF000000"/>
      <name val="Garamond"/>
      <family val="1"/>
    </font>
    <font>
      <sz val="11"/>
      <color rgb="FFC00000"/>
      <name val="Garamond"/>
      <family val="1"/>
    </font>
    <font>
      <b/>
      <sz val="11"/>
      <color rgb="FFC00000"/>
      <name val="Garamond"/>
      <family val="1"/>
    </font>
    <font>
      <b/>
      <sz val="16"/>
      <color theme="3"/>
      <name val="Garamond"/>
      <family val="1"/>
    </font>
    <font>
      <b/>
      <sz val="12"/>
      <name val="Garamond"/>
      <family val="1"/>
    </font>
    <font>
      <sz val="11"/>
      <name val="Calibri"/>
      <family val="2"/>
    </font>
    <font>
      <sz val="11"/>
      <color rgb="FFFF0000"/>
      <name val="Garamond"/>
      <family val="1"/>
    </font>
    <font>
      <b/>
      <sz val="12"/>
      <color rgb="FF000000"/>
      <name val="Garamond"/>
      <family val="1"/>
    </font>
    <font>
      <b/>
      <sz val="11"/>
      <color rgb="FF7030A0"/>
      <name val="Garamond"/>
      <family val="1"/>
    </font>
    <font>
      <sz val="11"/>
      <color rgb="FF7030A0"/>
      <name val="Garamond"/>
      <family val="1"/>
    </font>
    <font>
      <b/>
      <sz val="11"/>
      <color rgb="FF002060"/>
      <name val="Garamond"/>
      <family val="1"/>
    </font>
    <font>
      <b/>
      <sz val="12"/>
      <name val="Times New Roman"/>
      <family val="1"/>
    </font>
    <font>
      <sz val="12"/>
      <name val="Times New Roman"/>
      <family val="1"/>
    </font>
  </fonts>
  <fills count="13">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
      <patternFill patternType="solid">
        <fgColor theme="8"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43" fontId="11" fillId="0" borderId="0">
      <protection locked="0"/>
    </xf>
    <xf numFmtId="167" fontId="11" fillId="0" borderId="0">
      <protection locked="0"/>
    </xf>
    <xf numFmtId="9" fontId="11" fillId="0" borderId="0">
      <protection locked="0"/>
    </xf>
    <xf numFmtId="0" fontId="12" fillId="0" borderId="0">
      <protection locked="0"/>
    </xf>
    <xf numFmtId="0" fontId="13" fillId="0" borderId="0">
      <protection locked="0"/>
    </xf>
    <xf numFmtId="177" fontId="11" fillId="0" borderId="0">
      <protection locked="0"/>
    </xf>
    <xf numFmtId="164" fontId="8" fillId="0" borderId="0">
      <protection locked="0"/>
    </xf>
  </cellStyleXfs>
  <cellXfs count="568">
    <xf numFmtId="0" fontId="0" fillId="0" borderId="0" xfId="0">
      <alignment vertical="center"/>
    </xf>
    <xf numFmtId="0" fontId="4" fillId="5" borderId="2" xfId="0" applyFont="1" applyFill="1" applyBorder="1" applyAlignment="1"/>
    <xf numFmtId="0" fontId="5" fillId="5" borderId="2" xfId="0" applyFont="1" applyFill="1" applyBorder="1" applyAlignment="1"/>
    <xf numFmtId="0" fontId="4" fillId="0" borderId="0" xfId="0" applyFont="1" applyAlignment="1"/>
    <xf numFmtId="9" fontId="4" fillId="0" borderId="0" xfId="0" applyNumberFormat="1" applyFont="1" applyAlignment="1"/>
    <xf numFmtId="10" fontId="4" fillId="0" borderId="0" xfId="0" applyNumberFormat="1" applyFont="1" applyAlignment="1"/>
    <xf numFmtId="0" fontId="6" fillId="8" borderId="2" xfId="0" applyFont="1" applyFill="1" applyBorder="1" applyAlignment="1"/>
    <xf numFmtId="0" fontId="6" fillId="8" borderId="2" xfId="0" applyFont="1" applyFill="1" applyBorder="1" applyAlignment="1">
      <alignment horizontal="center"/>
    </xf>
    <xf numFmtId="0" fontId="4" fillId="0" borderId="2" xfId="0" applyFont="1" applyBorder="1" applyAlignment="1"/>
    <xf numFmtId="165" fontId="4" fillId="5" borderId="2" xfId="1" applyNumberFormat="1" applyFont="1" applyFill="1" applyBorder="1" applyAlignment="1" applyProtection="1"/>
    <xf numFmtId="165" fontId="4" fillId="0" borderId="2" xfId="1" applyNumberFormat="1" applyFont="1" applyBorder="1" applyAlignment="1" applyProtection="1"/>
    <xf numFmtId="0" fontId="5" fillId="0" borderId="2" xfId="0" applyFont="1" applyBorder="1" applyAlignment="1"/>
    <xf numFmtId="165" fontId="5" fillId="0" borderId="2" xfId="1" applyNumberFormat="1" applyFont="1" applyBorder="1" applyAlignment="1" applyProtection="1"/>
    <xf numFmtId="0" fontId="1" fillId="0" borderId="0" xfId="0" applyFont="1" applyFill="1" applyAlignment="1"/>
    <xf numFmtId="0" fontId="4" fillId="0" borderId="2" xfId="0" applyFont="1" applyFill="1" applyBorder="1" applyAlignment="1"/>
    <xf numFmtId="0" fontId="1" fillId="0" borderId="0" xfId="0" applyFont="1" applyBorder="1" applyAlignment="1">
      <alignment horizontal="center"/>
    </xf>
    <xf numFmtId="0" fontId="6" fillId="9" borderId="2" xfId="0" applyFont="1" applyFill="1" applyBorder="1" applyAlignment="1"/>
    <xf numFmtId="0" fontId="6" fillId="9" borderId="2" xfId="0" applyFont="1" applyFill="1" applyBorder="1" applyAlignment="1">
      <alignment horizontal="center"/>
    </xf>
    <xf numFmtId="0" fontId="1" fillId="0" borderId="2" xfId="0" applyFont="1" applyBorder="1" applyAlignment="1"/>
    <xf numFmtId="9" fontId="4" fillId="6" borderId="2" xfId="0" applyNumberFormat="1" applyFont="1" applyFill="1" applyBorder="1" applyAlignment="1"/>
    <xf numFmtId="164" fontId="1" fillId="0" borderId="0" xfId="0" applyNumberFormat="1" applyFont="1" applyAlignment="1"/>
    <xf numFmtId="9" fontId="1" fillId="0" borderId="0" xfId="0" applyNumberFormat="1" applyFont="1" applyAlignment="1"/>
    <xf numFmtId="165" fontId="1" fillId="0" borderId="0" xfId="0" applyNumberFormat="1" applyFont="1" applyAlignment="1"/>
    <xf numFmtId="10" fontId="1" fillId="0" borderId="0" xfId="0" applyNumberFormat="1" applyFont="1" applyAlignment="1"/>
    <xf numFmtId="9" fontId="4" fillId="0" borderId="2" xfId="3" applyFont="1" applyBorder="1" applyAlignment="1" applyProtection="1"/>
    <xf numFmtId="0" fontId="5" fillId="0" borderId="0" xfId="0" applyFont="1" applyAlignment="1"/>
    <xf numFmtId="0" fontId="4" fillId="0" borderId="2" xfId="0" applyFont="1" applyBorder="1" applyAlignment="1">
      <alignment wrapText="1"/>
    </xf>
    <xf numFmtId="0" fontId="5" fillId="0" borderId="2" xfId="0" applyFont="1" applyFill="1" applyBorder="1" applyAlignment="1"/>
    <xf numFmtId="0" fontId="9" fillId="9" borderId="2" xfId="0" applyFont="1" applyFill="1" applyBorder="1" applyAlignment="1"/>
    <xf numFmtId="0" fontId="9" fillId="9" borderId="2" xfId="0" applyFont="1" applyFill="1" applyBorder="1" applyAlignment="1">
      <alignment horizontal="center"/>
    </xf>
    <xf numFmtId="0" fontId="9" fillId="0" borderId="0" xfId="0" applyFont="1" applyFill="1" applyBorder="1" applyAlignment="1">
      <alignment horizontal="center"/>
    </xf>
    <xf numFmtId="0" fontId="1" fillId="5" borderId="2" xfId="0" applyFont="1" applyFill="1" applyBorder="1" applyAlignment="1"/>
    <xf numFmtId="0" fontId="1" fillId="0" borderId="0" xfId="0" applyNumberFormat="1" applyFont="1" applyFill="1" applyBorder="1" applyAlignment="1"/>
    <xf numFmtId="1" fontId="1" fillId="0" borderId="0" xfId="0" applyNumberFormat="1" applyFont="1" applyFill="1" applyBorder="1" applyAlignment="1"/>
    <xf numFmtId="0" fontId="2" fillId="0" borderId="2" xfId="0" applyFont="1" applyBorder="1" applyAlignment="1"/>
    <xf numFmtId="0" fontId="2" fillId="0" borderId="2" xfId="0" applyFont="1" applyFill="1" applyBorder="1" applyAlignment="1"/>
    <xf numFmtId="0" fontId="2" fillId="0" borderId="0" xfId="0" applyFont="1" applyFill="1" applyBorder="1" applyAlignment="1"/>
    <xf numFmtId="165" fontId="2" fillId="0" borderId="0" xfId="1" applyNumberFormat="1" applyFont="1" applyFill="1" applyBorder="1" applyAlignment="1" applyProtection="1"/>
    <xf numFmtId="0" fontId="2" fillId="5" borderId="2" xfId="0" applyFont="1" applyFill="1" applyBorder="1" applyAlignment="1"/>
    <xf numFmtId="0" fontId="2" fillId="0" borderId="0" xfId="0" applyFont="1" applyAlignment="1"/>
    <xf numFmtId="9" fontId="1" fillId="0" borderId="0" xfId="3" applyFont="1" applyAlignment="1" applyProtection="1"/>
    <xf numFmtId="176" fontId="1" fillId="0" borderId="0" xfId="0" applyNumberFormat="1" applyFont="1" applyAlignment="1"/>
    <xf numFmtId="0" fontId="9" fillId="9" borderId="2" xfId="0" applyFont="1" applyFill="1" applyBorder="1" applyAlignment="1">
      <alignment wrapText="1"/>
    </xf>
    <xf numFmtId="0" fontId="2" fillId="0" borderId="12" xfId="0" applyFont="1" applyFill="1" applyBorder="1" applyAlignment="1">
      <alignment wrapText="1"/>
    </xf>
    <xf numFmtId="9" fontId="1" fillId="5" borderId="2" xfId="3" applyFont="1" applyFill="1" applyBorder="1" applyAlignment="1" applyProtection="1"/>
    <xf numFmtId="0" fontId="1" fillId="6" borderId="2" xfId="0" applyFont="1" applyFill="1" applyBorder="1" applyAlignment="1"/>
    <xf numFmtId="9" fontId="1" fillId="6" borderId="2" xfId="0" applyNumberFormat="1" applyFont="1" applyFill="1" applyBorder="1" applyAlignment="1"/>
    <xf numFmtId="9" fontId="1" fillId="5" borderId="2" xfId="0" applyNumberFormat="1" applyFont="1" applyFill="1" applyBorder="1" applyAlignment="1"/>
    <xf numFmtId="0" fontId="1" fillId="0" borderId="2" xfId="0" applyFont="1" applyFill="1" applyBorder="1" applyAlignment="1"/>
    <xf numFmtId="0" fontId="1" fillId="0" borderId="7"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9" fontId="9" fillId="6" borderId="2" xfId="0" applyNumberFormat="1" applyFont="1" applyFill="1" applyBorder="1" applyAlignment="1"/>
    <xf numFmtId="9" fontId="9" fillId="6" borderId="2" xfId="0" applyNumberFormat="1" applyFont="1" applyFill="1" applyBorder="1" applyAlignment="1">
      <alignment horizontal="center"/>
    </xf>
    <xf numFmtId="0" fontId="1" fillId="0" borderId="0" xfId="0" applyFont="1" applyBorder="1" applyAlignment="1"/>
    <xf numFmtId="9" fontId="10" fillId="6" borderId="2" xfId="0" applyNumberFormat="1" applyFont="1" applyFill="1" applyBorder="1" applyAlignment="1"/>
    <xf numFmtId="176" fontId="10" fillId="6" borderId="2" xfId="0" applyNumberFormat="1" applyFont="1" applyFill="1" applyBorder="1" applyAlignment="1"/>
    <xf numFmtId="0" fontId="1" fillId="0" borderId="2" xfId="0" applyNumberFormat="1" applyFont="1" applyBorder="1" applyAlignment="1"/>
    <xf numFmtId="0" fontId="2" fillId="0" borderId="8" xfId="0" applyFont="1" applyBorder="1" applyAlignment="1">
      <alignment horizontal="center" vertical="center"/>
    </xf>
    <xf numFmtId="0" fontId="1" fillId="5" borderId="2" xfId="3" applyNumberFormat="1" applyFont="1" applyFill="1" applyBorder="1" applyAlignment="1" applyProtection="1"/>
    <xf numFmtId="0" fontId="1" fillId="0" borderId="2" xfId="0" applyNumberFormat="1" applyFont="1" applyFill="1" applyBorder="1" applyAlignment="1"/>
    <xf numFmtId="0" fontId="1" fillId="0" borderId="0" xfId="0" applyFont="1" applyAlignment="1">
      <alignment horizontal="center"/>
    </xf>
    <xf numFmtId="0" fontId="4" fillId="5" borderId="0" xfId="0" applyFont="1" applyFill="1" applyAlignment="1"/>
    <xf numFmtId="0" fontId="4" fillId="6" borderId="0" xfId="0" applyFont="1" applyFill="1" applyAlignment="1"/>
    <xf numFmtId="0" fontId="4" fillId="0" borderId="0" xfId="0" applyFont="1" applyFill="1" applyBorder="1" applyAlignment="1"/>
    <xf numFmtId="165" fontId="5" fillId="5" borderId="2" xfId="1" applyNumberFormat="1" applyFont="1" applyFill="1" applyBorder="1" applyAlignment="1" applyProtection="1"/>
    <xf numFmtId="1" fontId="4" fillId="0" borderId="2" xfId="0" applyNumberFormat="1" applyFont="1" applyBorder="1" applyAlignment="1"/>
    <xf numFmtId="0" fontId="4" fillId="6" borderId="2" xfId="0" applyFont="1" applyFill="1" applyBorder="1" applyAlignment="1"/>
    <xf numFmtId="9" fontId="4" fillId="0" borderId="2" xfId="0" applyNumberFormat="1" applyFont="1" applyFill="1" applyBorder="1" applyAlignment="1"/>
    <xf numFmtId="164" fontId="4" fillId="0" borderId="2" xfId="0" applyNumberFormat="1" applyFont="1" applyBorder="1" applyAlignment="1"/>
    <xf numFmtId="0" fontId="4" fillId="0" borderId="0" xfId="0" applyFont="1" applyBorder="1" applyAlignment="1"/>
    <xf numFmtId="165" fontId="4" fillId="0" borderId="0" xfId="1" applyNumberFormat="1" applyFont="1" applyBorder="1" applyAlignment="1" applyProtection="1"/>
    <xf numFmtId="0" fontId="2" fillId="0" borderId="0" xfId="0" applyFont="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10" fontId="5" fillId="0" borderId="0" xfId="0" applyNumberFormat="1" applyFont="1" applyAlignment="1">
      <alignment horizontal="center"/>
    </xf>
    <xf numFmtId="0" fontId="4" fillId="5" borderId="2" xfId="0" applyFont="1" applyFill="1" applyBorder="1" applyAlignment="1">
      <alignment wrapText="1"/>
    </xf>
    <xf numFmtId="165" fontId="4" fillId="0" borderId="2" xfId="1" applyNumberFormat="1" applyFont="1" applyFill="1" applyBorder="1" applyAlignment="1" applyProtection="1"/>
    <xf numFmtId="0" fontId="5" fillId="0" borderId="2" xfId="0" applyFont="1" applyBorder="1" applyAlignment="1">
      <alignment wrapText="1"/>
    </xf>
    <xf numFmtId="167" fontId="4" fillId="5" borderId="0" xfId="0" applyNumberFormat="1" applyFont="1" applyFill="1" applyBorder="1" applyAlignment="1"/>
    <xf numFmtId="167" fontId="4" fillId="0" borderId="0" xfId="0" applyNumberFormat="1" applyFont="1" applyBorder="1" applyAlignment="1"/>
    <xf numFmtId="164" fontId="4" fillId="0" borderId="0" xfId="0" applyNumberFormat="1" applyFont="1" applyBorder="1" applyAlignment="1"/>
    <xf numFmtId="1" fontId="4" fillId="0" borderId="0" xfId="0" applyNumberFormat="1" applyFont="1" applyBorder="1" applyAlignment="1"/>
    <xf numFmtId="0" fontId="2" fillId="0" borderId="0" xfId="0" applyFont="1" applyAlignment="1">
      <alignment horizontal="center"/>
    </xf>
    <xf numFmtId="0" fontId="2" fillId="0" borderId="0" xfId="0" applyFont="1" applyAlignment="1">
      <alignment horizontal="center"/>
    </xf>
    <xf numFmtId="0" fontId="9" fillId="9" borderId="6" xfId="0" applyFont="1" applyFill="1" applyBorder="1" applyAlignment="1">
      <alignment wrapText="1"/>
    </xf>
    <xf numFmtId="0" fontId="1" fillId="0" borderId="2" xfId="0" applyFont="1" applyBorder="1" applyAlignment="1">
      <alignment horizontal="center"/>
    </xf>
    <xf numFmtId="0" fontId="1" fillId="0" borderId="0" xfId="0" applyFont="1" applyFill="1" applyBorder="1" applyAlignment="1"/>
    <xf numFmtId="0" fontId="4" fillId="0" borderId="2" xfId="0" applyFont="1" applyFill="1" applyBorder="1" applyAlignment="1">
      <alignment wrapText="1"/>
    </xf>
    <xf numFmtId="165" fontId="4" fillId="5" borderId="2" xfId="1" applyNumberFormat="1" applyFont="1" applyFill="1" applyBorder="1" applyAlignment="1" applyProtection="1">
      <alignment wrapText="1"/>
    </xf>
    <xf numFmtId="0" fontId="5" fillId="0" borderId="0" xfId="0" applyFont="1" applyBorder="1" applyAlignment="1"/>
    <xf numFmtId="165" fontId="5" fillId="0" borderId="0" xfId="1" applyNumberFormat="1" applyFont="1" applyBorder="1" applyAlignment="1" applyProtection="1"/>
    <xf numFmtId="166" fontId="4" fillId="0" borderId="2" xfId="2" applyNumberFormat="1" applyFont="1" applyFill="1" applyBorder="1" applyAlignment="1" applyProtection="1"/>
    <xf numFmtId="166" fontId="4" fillId="5" borderId="2" xfId="2" applyNumberFormat="1" applyFont="1" applyFill="1" applyBorder="1" applyAlignment="1" applyProtection="1"/>
    <xf numFmtId="166" fontId="4" fillId="0" borderId="2" xfId="0" applyNumberFormat="1" applyFont="1" applyFill="1" applyBorder="1" applyAlignment="1"/>
    <xf numFmtId="0" fontId="2" fillId="0" borderId="0" xfId="0" applyFont="1" applyAlignment="1">
      <alignment horizontal="center"/>
    </xf>
    <xf numFmtId="166" fontId="4" fillId="0" borderId="0" xfId="0" applyNumberFormat="1" applyFont="1" applyAlignment="1"/>
    <xf numFmtId="165" fontId="4" fillId="0" borderId="5" xfId="1" applyNumberFormat="1" applyFont="1" applyBorder="1" applyAlignment="1" applyProtection="1"/>
    <xf numFmtId="165" fontId="5" fillId="0" borderId="2" xfId="1" applyNumberFormat="1" applyFont="1" applyBorder="1" applyAlignment="1" applyProtection="1">
      <alignment wrapText="1"/>
    </xf>
    <xf numFmtId="0" fontId="2" fillId="0" borderId="0" xfId="0" applyFont="1" applyAlignment="1">
      <alignment horizontal="center"/>
    </xf>
    <xf numFmtId="0" fontId="5" fillId="0" borderId="0" xfId="0" applyFont="1" applyAlignment="1">
      <alignment horizontal="center"/>
    </xf>
    <xf numFmtId="0" fontId="15" fillId="5" borderId="2" xfId="0" applyFont="1" applyFill="1" applyBorder="1" applyAlignment="1"/>
    <xf numFmtId="164" fontId="4" fillId="0" borderId="2" xfId="1" applyNumberFormat="1" applyFont="1" applyBorder="1" applyAlignment="1" applyProtection="1"/>
    <xf numFmtId="43" fontId="4" fillId="5" borderId="2" xfId="1" applyNumberFormat="1" applyFont="1" applyFill="1" applyBorder="1" applyAlignment="1" applyProtection="1"/>
    <xf numFmtId="0" fontId="17" fillId="0" borderId="0" xfId="0" applyFont="1">
      <alignment vertical="center"/>
    </xf>
    <xf numFmtId="9" fontId="18" fillId="0" borderId="0" xfId="0" applyNumberFormat="1" applyFont="1" applyAlignment="1"/>
    <xf numFmtId="0" fontId="19" fillId="9" borderId="2" xfId="0" applyFont="1" applyFill="1" applyBorder="1" applyAlignment="1"/>
    <xf numFmtId="0" fontId="19" fillId="9" borderId="2" xfId="0" applyFont="1" applyFill="1" applyBorder="1" applyAlignment="1">
      <alignment horizontal="center"/>
    </xf>
    <xf numFmtId="0" fontId="19" fillId="0" borderId="0" xfId="0" applyFont="1" applyFill="1" applyBorder="1" applyAlignment="1">
      <alignment horizontal="center"/>
    </xf>
    <xf numFmtId="0" fontId="18" fillId="0" borderId="2" xfId="0" applyFont="1" applyBorder="1" applyAlignment="1"/>
    <xf numFmtId="0" fontId="18" fillId="5" borderId="2" xfId="0" applyFont="1" applyFill="1" applyBorder="1" applyAlignment="1"/>
    <xf numFmtId="0" fontId="18" fillId="0" borderId="0" xfId="0" applyNumberFormat="1" applyFont="1" applyFill="1" applyBorder="1" applyAlignment="1"/>
    <xf numFmtId="1" fontId="18" fillId="0" borderId="0" xfId="0" applyNumberFormat="1" applyFont="1" applyFill="1" applyBorder="1" applyAlignment="1"/>
    <xf numFmtId="0" fontId="20" fillId="0" borderId="2" xfId="0" applyFont="1" applyBorder="1" applyAlignment="1"/>
    <xf numFmtId="0" fontId="20" fillId="0" borderId="2" xfId="0" applyFont="1" applyFill="1" applyBorder="1" applyAlignment="1"/>
    <xf numFmtId="0" fontId="20" fillId="0" borderId="0" xfId="0" applyFont="1" applyFill="1" applyBorder="1" applyAlignment="1"/>
    <xf numFmtId="165" fontId="20" fillId="0" borderId="0" xfId="1" applyNumberFormat="1" applyFont="1" applyFill="1" applyBorder="1" applyAlignment="1" applyProtection="1"/>
    <xf numFmtId="164" fontId="20" fillId="0" borderId="0" xfId="1" applyNumberFormat="1" applyFont="1" applyFill="1" applyBorder="1" applyAlignment="1" applyProtection="1"/>
    <xf numFmtId="0" fontId="20" fillId="5" borderId="2" xfId="0" applyFont="1" applyFill="1" applyBorder="1" applyAlignment="1"/>
    <xf numFmtId="0" fontId="20" fillId="0" borderId="0" xfId="0" applyFont="1" applyAlignment="1"/>
    <xf numFmtId="9" fontId="18" fillId="0" borderId="0" xfId="3" applyFont="1" applyAlignment="1" applyProtection="1"/>
    <xf numFmtId="176" fontId="18" fillId="0" borderId="0" xfId="0" applyNumberFormat="1" applyFont="1" applyAlignment="1"/>
    <xf numFmtId="10" fontId="18" fillId="0" borderId="0" xfId="0" applyNumberFormat="1" applyFont="1" applyAlignment="1"/>
    <xf numFmtId="0" fontId="19" fillId="9" borderId="2" xfId="0" applyFont="1" applyFill="1" applyBorder="1" applyAlignment="1">
      <alignment wrapText="1"/>
    </xf>
    <xf numFmtId="0" fontId="20" fillId="0" borderId="12" xfId="0" applyFont="1" applyFill="1" applyBorder="1" applyAlignment="1">
      <alignment wrapText="1"/>
    </xf>
    <xf numFmtId="9" fontId="18" fillId="5" borderId="2" xfId="3" applyFont="1" applyFill="1" applyBorder="1" applyAlignment="1" applyProtection="1"/>
    <xf numFmtId="1" fontId="18" fillId="0" borderId="2" xfId="0" applyNumberFormat="1" applyFont="1" applyBorder="1" applyAlignment="1"/>
    <xf numFmtId="0" fontId="18" fillId="6" borderId="2" xfId="0" applyFont="1" applyFill="1" applyBorder="1" applyAlignment="1"/>
    <xf numFmtId="9" fontId="18" fillId="6" borderId="2" xfId="0" applyNumberFormat="1" applyFont="1" applyFill="1" applyBorder="1" applyAlignment="1"/>
    <xf numFmtId="10" fontId="17" fillId="0" borderId="0" xfId="0" applyNumberFormat="1" applyFont="1">
      <alignment vertical="center"/>
    </xf>
    <xf numFmtId="0" fontId="18" fillId="0" borderId="8" xfId="0" applyFont="1" applyBorder="1" applyAlignment="1">
      <alignment horizontal="center" vertical="center"/>
    </xf>
    <xf numFmtId="9" fontId="18" fillId="5" borderId="2" xfId="0" applyNumberFormat="1" applyFont="1" applyFill="1" applyBorder="1" applyAlignment="1"/>
    <xf numFmtId="0" fontId="18" fillId="0" borderId="2" xfId="3" applyNumberFormat="1" applyFont="1" applyFill="1" applyBorder="1" applyAlignment="1" applyProtection="1"/>
    <xf numFmtId="0" fontId="18" fillId="0" borderId="2" xfId="0" applyFont="1" applyFill="1" applyBorder="1" applyAlignment="1"/>
    <xf numFmtId="0" fontId="18" fillId="0" borderId="7" xfId="0" applyFont="1" applyBorder="1" applyAlignment="1">
      <alignment vertical="center" wrapText="1"/>
    </xf>
    <xf numFmtId="0" fontId="18" fillId="0" borderId="6" xfId="0" applyFont="1" applyBorder="1" applyAlignment="1">
      <alignment vertical="center" wrapText="1"/>
    </xf>
    <xf numFmtId="0" fontId="18" fillId="0" borderId="8" xfId="0" applyFont="1" applyBorder="1" applyAlignment="1">
      <alignment vertical="center" wrapText="1"/>
    </xf>
    <xf numFmtId="9" fontId="17" fillId="0" borderId="0" xfId="0" applyNumberFormat="1" applyFont="1">
      <alignment vertical="center"/>
    </xf>
    <xf numFmtId="9" fontId="17" fillId="0" borderId="0" xfId="0" applyNumberFormat="1" applyFont="1" applyFill="1" applyBorder="1">
      <alignment vertical="center"/>
    </xf>
    <xf numFmtId="0" fontId="18" fillId="11" borderId="11" xfId="0" applyFont="1" applyFill="1" applyBorder="1" applyAlignment="1">
      <alignment horizontal="right" vertical="center"/>
    </xf>
    <xf numFmtId="0" fontId="18" fillId="11" borderId="11" xfId="0" applyFont="1" applyFill="1" applyBorder="1" applyAlignment="1">
      <alignment vertical="center" wrapText="1"/>
    </xf>
    <xf numFmtId="1" fontId="17" fillId="0" borderId="0" xfId="0" applyNumberFormat="1" applyFont="1">
      <alignment vertical="center"/>
    </xf>
    <xf numFmtId="0" fontId="18" fillId="11" borderId="11" xfId="0" applyFont="1" applyFill="1" applyBorder="1" applyAlignment="1">
      <alignment horizontal="center" vertical="center"/>
    </xf>
    <xf numFmtId="9" fontId="19" fillId="6" borderId="2" xfId="0" applyNumberFormat="1" applyFont="1" applyFill="1" applyBorder="1" applyAlignment="1">
      <alignment horizontal="center"/>
    </xf>
    <xf numFmtId="0" fontId="18" fillId="0" borderId="0" xfId="0" applyFont="1" applyFill="1" applyAlignment="1"/>
    <xf numFmtId="0" fontId="18" fillId="0" borderId="0" xfId="0" applyFont="1" applyBorder="1" applyAlignment="1"/>
    <xf numFmtId="9" fontId="23" fillId="6" borderId="2" xfId="0" applyNumberFormat="1" applyFont="1" applyFill="1" applyBorder="1" applyAlignment="1"/>
    <xf numFmtId="176" fontId="23" fillId="6" borderId="2" xfId="0" applyNumberFormat="1" applyFont="1" applyFill="1" applyBorder="1" applyAlignment="1"/>
    <xf numFmtId="165" fontId="18" fillId="0" borderId="2" xfId="1" applyNumberFormat="1" applyFont="1" applyBorder="1">
      <protection locked="0"/>
    </xf>
    <xf numFmtId="0" fontId="18" fillId="0" borderId="0" xfId="0" applyFont="1" applyAlignment="1">
      <alignment horizontal="center"/>
    </xf>
    <xf numFmtId="0" fontId="18" fillId="0" borderId="0" xfId="0" applyFont="1" applyAlignment="1"/>
    <xf numFmtId="0" fontId="18" fillId="5" borderId="0" xfId="0" applyFont="1" applyFill="1" applyAlignment="1"/>
    <xf numFmtId="0" fontId="18" fillId="6" borderId="0" xfId="0" applyFont="1" applyFill="1" applyAlignment="1"/>
    <xf numFmtId="178" fontId="18" fillId="0" borderId="0" xfId="1" applyNumberFormat="1" applyFont="1">
      <protection locked="0"/>
    </xf>
    <xf numFmtId="165" fontId="20" fillId="5" borderId="2" xfId="1" applyNumberFormat="1" applyFont="1" applyFill="1" applyBorder="1" applyAlignment="1" applyProtection="1"/>
    <xf numFmtId="165" fontId="20" fillId="0" borderId="2" xfId="1" applyNumberFormat="1" applyFont="1" applyBorder="1" applyAlignment="1" applyProtection="1"/>
    <xf numFmtId="165" fontId="18" fillId="0" borderId="2" xfId="1" applyNumberFormat="1" applyFont="1" applyBorder="1" applyAlignment="1" applyProtection="1"/>
    <xf numFmtId="164" fontId="17" fillId="0" borderId="0" xfId="0" applyNumberFormat="1" applyFont="1">
      <alignment vertical="center"/>
    </xf>
    <xf numFmtId="164" fontId="18" fillId="0" borderId="2" xfId="0" applyNumberFormat="1" applyFont="1" applyBorder="1" applyAlignment="1"/>
    <xf numFmtId="165" fontId="18" fillId="0" borderId="0" xfId="1" applyNumberFormat="1" applyFont="1" applyBorder="1" applyAlignment="1" applyProtection="1"/>
    <xf numFmtId="0" fontId="18" fillId="0" borderId="0" xfId="0" applyFont="1" applyFill="1" applyBorder="1" applyAlignment="1"/>
    <xf numFmtId="165" fontId="17" fillId="0" borderId="0" xfId="0" applyNumberFormat="1" applyFont="1">
      <alignment vertical="center"/>
    </xf>
    <xf numFmtId="0" fontId="20" fillId="0" borderId="0" xfId="0" applyFont="1" applyAlignment="1">
      <alignment horizontal="center"/>
    </xf>
    <xf numFmtId="9" fontId="20" fillId="0" borderId="0" xfId="0" applyNumberFormat="1" applyFont="1" applyAlignment="1">
      <alignment horizontal="center"/>
    </xf>
    <xf numFmtId="10" fontId="20" fillId="0" borderId="0" xfId="0" applyNumberFormat="1" applyFont="1" applyAlignment="1">
      <alignment horizontal="center"/>
    </xf>
    <xf numFmtId="0" fontId="19" fillId="8" borderId="2" xfId="0" applyFont="1" applyFill="1" applyBorder="1" applyAlignment="1"/>
    <xf numFmtId="0" fontId="19" fillId="8" borderId="2" xfId="0" applyFont="1" applyFill="1" applyBorder="1" applyAlignment="1">
      <alignment horizontal="center"/>
    </xf>
    <xf numFmtId="9" fontId="18" fillId="0" borderId="2" xfId="3" applyFont="1" applyBorder="1" applyAlignment="1" applyProtection="1"/>
    <xf numFmtId="165" fontId="18" fillId="5" borderId="2" xfId="1" applyNumberFormat="1" applyFont="1" applyFill="1" applyBorder="1" applyAlignment="1" applyProtection="1"/>
    <xf numFmtId="165" fontId="18" fillId="0" borderId="3" xfId="1" applyNumberFormat="1" applyFont="1" applyBorder="1" applyAlignment="1" applyProtection="1"/>
    <xf numFmtId="0" fontId="18" fillId="0" borderId="2" xfId="0" applyFont="1" applyBorder="1" applyAlignment="1">
      <alignment wrapText="1"/>
    </xf>
    <xf numFmtId="0" fontId="18" fillId="5" borderId="2" xfId="0" applyFont="1" applyFill="1" applyBorder="1" applyAlignment="1">
      <alignment wrapText="1"/>
    </xf>
    <xf numFmtId="165" fontId="18" fillId="0" borderId="2" xfId="1" applyNumberFormat="1" applyFont="1" applyFill="1" applyBorder="1" applyAlignment="1" applyProtection="1"/>
    <xf numFmtId="0" fontId="20" fillId="0" borderId="2" xfId="0" applyFont="1" applyBorder="1" applyAlignment="1">
      <alignment wrapText="1"/>
    </xf>
    <xf numFmtId="9" fontId="18" fillId="0" borderId="2" xfId="0" applyNumberFormat="1" applyFont="1" applyBorder="1" applyAlignment="1"/>
    <xf numFmtId="164" fontId="18" fillId="0" borderId="2" xfId="0" applyNumberFormat="1" applyFont="1" applyFill="1" applyBorder="1" applyAlignment="1"/>
    <xf numFmtId="166" fontId="20" fillId="0" borderId="2" xfId="2" applyNumberFormat="1" applyFont="1" applyBorder="1" applyAlignment="1" applyProtection="1"/>
    <xf numFmtId="0" fontId="20" fillId="6" borderId="2" xfId="0" applyFont="1" applyFill="1" applyBorder="1" applyAlignment="1"/>
    <xf numFmtId="9" fontId="20" fillId="6" borderId="2" xfId="3" applyFont="1" applyFill="1" applyBorder="1" applyAlignment="1" applyProtection="1"/>
    <xf numFmtId="166" fontId="20" fillId="6" borderId="2" xfId="2" applyNumberFormat="1" applyFont="1" applyFill="1" applyBorder="1" applyAlignment="1" applyProtection="1"/>
    <xf numFmtId="166" fontId="18" fillId="0" borderId="2" xfId="3" applyNumberFormat="1" applyFont="1" applyBorder="1" applyAlignment="1" applyProtection="1"/>
    <xf numFmtId="0" fontId="20" fillId="0" borderId="0" xfId="0" applyFont="1" applyBorder="1" applyAlignment="1">
      <alignment horizontal="center"/>
    </xf>
    <xf numFmtId="9" fontId="20" fillId="0" borderId="0" xfId="0" applyNumberFormat="1" applyFont="1" applyBorder="1" applyAlignment="1">
      <alignment horizontal="center"/>
    </xf>
    <xf numFmtId="10" fontId="20" fillId="0" borderId="0" xfId="0" applyNumberFormat="1" applyFont="1" applyBorder="1" applyAlignment="1">
      <alignment horizontal="center"/>
    </xf>
    <xf numFmtId="166" fontId="18" fillId="0" borderId="2" xfId="0" applyNumberFormat="1" applyFont="1" applyBorder="1" applyAlignment="1"/>
    <xf numFmtId="174" fontId="20" fillId="5" borderId="2" xfId="0" applyNumberFormat="1" applyFont="1" applyFill="1" applyBorder="1" applyAlignment="1"/>
    <xf numFmtId="166" fontId="20" fillId="0" borderId="2" xfId="0" applyNumberFormat="1" applyFont="1" applyBorder="1" applyAlignment="1"/>
    <xf numFmtId="165" fontId="18" fillId="0" borderId="2" xfId="0" applyNumberFormat="1" applyFont="1" applyBorder="1" applyAlignment="1"/>
    <xf numFmtId="2" fontId="18" fillId="0" borderId="2" xfId="0" applyNumberFormat="1" applyFont="1" applyBorder="1" applyAlignment="1"/>
    <xf numFmtId="164" fontId="18" fillId="0" borderId="0" xfId="0" applyNumberFormat="1" applyFont="1" applyAlignment="1"/>
    <xf numFmtId="0" fontId="25" fillId="0" borderId="0" xfId="0" applyFont="1" applyAlignment="1"/>
    <xf numFmtId="0" fontId="23" fillId="9" borderId="2" xfId="0" applyFont="1" applyFill="1" applyBorder="1" applyAlignment="1">
      <alignment horizontal="left"/>
    </xf>
    <xf numFmtId="0" fontId="26" fillId="9" borderId="2" xfId="0" applyFont="1" applyFill="1" applyBorder="1" applyAlignment="1">
      <alignment horizontal="center"/>
    </xf>
    <xf numFmtId="0" fontId="27" fillId="9" borderId="12" xfId="0" applyFont="1" applyFill="1" applyBorder="1" applyAlignment="1">
      <alignment horizontal="center"/>
    </xf>
    <xf numFmtId="0" fontId="28" fillId="0" borderId="2" xfId="0" applyFont="1" applyBorder="1" applyAlignment="1"/>
    <xf numFmtId="3" fontId="28" fillId="0" borderId="2" xfId="0" applyNumberFormat="1" applyFont="1" applyBorder="1" applyAlignment="1"/>
    <xf numFmtId="0" fontId="29" fillId="0" borderId="2" xfId="0" applyFont="1" applyBorder="1" applyAlignment="1"/>
    <xf numFmtId="10" fontId="28" fillId="0" borderId="2" xfId="0" applyNumberFormat="1" applyFont="1" applyBorder="1" applyAlignment="1"/>
    <xf numFmtId="4" fontId="28" fillId="0" borderId="2" xfId="0" applyNumberFormat="1" applyFont="1" applyBorder="1" applyAlignment="1"/>
    <xf numFmtId="0" fontId="28" fillId="0" borderId="2" xfId="0" quotePrefix="1" applyFont="1" applyBorder="1" applyAlignment="1">
      <alignment horizontal="left"/>
    </xf>
    <xf numFmtId="4" fontId="18" fillId="0" borderId="2" xfId="0" applyNumberFormat="1" applyFont="1" applyBorder="1" applyAlignment="1"/>
    <xf numFmtId="4" fontId="18" fillId="0" borderId="0" xfId="0" applyNumberFormat="1" applyFont="1" applyAlignment="1"/>
    <xf numFmtId="0" fontId="28" fillId="0" borderId="0" xfId="0" applyFont="1" applyBorder="1" applyAlignment="1"/>
    <xf numFmtId="0" fontId="23" fillId="9" borderId="2" xfId="0" applyFont="1" applyFill="1" applyBorder="1" applyAlignment="1"/>
    <xf numFmtId="0" fontId="23" fillId="9" borderId="2" xfId="0" applyFont="1" applyFill="1" applyBorder="1" applyAlignment="1">
      <alignment horizontal="center"/>
    </xf>
    <xf numFmtId="10" fontId="20" fillId="0" borderId="0" xfId="3" applyNumberFormat="1" applyFont="1" applyAlignment="1" applyProtection="1"/>
    <xf numFmtId="3" fontId="18" fillId="0" borderId="2" xfId="0" applyNumberFormat="1" applyFont="1" applyBorder="1" applyAlignment="1"/>
    <xf numFmtId="0" fontId="30" fillId="0" borderId="2" xfId="0" applyFont="1" applyBorder="1" applyAlignment="1"/>
    <xf numFmtId="165" fontId="18" fillId="0" borderId="0" xfId="1" applyNumberFormat="1" applyFont="1" applyAlignment="1" applyProtection="1"/>
    <xf numFmtId="0" fontId="30" fillId="0" borderId="0" xfId="0" applyFont="1" applyAlignment="1"/>
    <xf numFmtId="43" fontId="18" fillId="0" borderId="0" xfId="0" applyNumberFormat="1" applyFont="1" applyAlignment="1"/>
    <xf numFmtId="165" fontId="18" fillId="0" borderId="0" xfId="0" applyNumberFormat="1" applyFont="1" applyAlignment="1"/>
    <xf numFmtId="0" fontId="33" fillId="9" borderId="2" xfId="0" applyFont="1" applyFill="1" applyBorder="1" applyAlignment="1">
      <alignment horizontal="center"/>
    </xf>
    <xf numFmtId="0" fontId="34" fillId="0" borderId="2" xfId="0" applyFont="1" applyBorder="1" applyAlignment="1">
      <alignment horizontal="center"/>
    </xf>
    <xf numFmtId="0" fontId="35" fillId="0" borderId="2" xfId="0" applyFont="1" applyFill="1" applyBorder="1" applyAlignment="1">
      <alignment horizontal="center"/>
    </xf>
    <xf numFmtId="0" fontId="20" fillId="0" borderId="2" xfId="0" applyFont="1" applyBorder="1" applyAlignment="1">
      <alignment horizontal="center" vertical="center"/>
    </xf>
    <xf numFmtId="0" fontId="28" fillId="0" borderId="2" xfId="0" applyFont="1" applyBorder="1" applyAlignment="1">
      <alignment horizontal="center"/>
    </xf>
    <xf numFmtId="0" fontId="17" fillId="0" borderId="2" xfId="0" applyFont="1" applyFill="1" applyBorder="1" applyAlignment="1">
      <alignment horizontal="center"/>
    </xf>
    <xf numFmtId="165" fontId="28" fillId="0" borderId="2" xfId="1" applyNumberFormat="1" applyFont="1" applyBorder="1" applyAlignment="1" applyProtection="1">
      <alignment horizontal="center"/>
    </xf>
    <xf numFmtId="0" fontId="18" fillId="0" borderId="2" xfId="0" applyFont="1" applyBorder="1" applyAlignment="1">
      <alignment horizontal="center" vertical="center"/>
    </xf>
    <xf numFmtId="2" fontId="20" fillId="0" borderId="2" xfId="0" applyNumberFormat="1" applyFont="1" applyBorder="1" applyAlignment="1"/>
    <xf numFmtId="0" fontId="20" fillId="0" borderId="0" xfId="0" applyFont="1" applyFill="1" applyAlignment="1"/>
    <xf numFmtId="2" fontId="20" fillId="0" borderId="0" xfId="0" applyNumberFormat="1" applyFont="1" applyAlignment="1"/>
    <xf numFmtId="165" fontId="20" fillId="0" borderId="2" xfId="0" applyNumberFormat="1" applyFont="1" applyBorder="1" applyAlignment="1"/>
    <xf numFmtId="2" fontId="18" fillId="0" borderId="0" xfId="0" applyNumberFormat="1" applyFont="1" applyAlignment="1"/>
    <xf numFmtId="0" fontId="28" fillId="0" borderId="2" xfId="0" applyFont="1" applyFill="1" applyBorder="1" applyAlignment="1"/>
    <xf numFmtId="165" fontId="28" fillId="0" borderId="2" xfId="1" applyNumberFormat="1" applyFont="1" applyFill="1" applyBorder="1" applyAlignment="1" applyProtection="1"/>
    <xf numFmtId="9" fontId="20" fillId="6" borderId="0" xfId="0" applyNumberFormat="1" applyFont="1" applyFill="1" applyAlignment="1"/>
    <xf numFmtId="0" fontId="29" fillId="0" borderId="2" xfId="0" applyFont="1" applyFill="1" applyBorder="1" applyAlignment="1"/>
    <xf numFmtId="165" fontId="29" fillId="0" borderId="2" xfId="1" applyNumberFormat="1" applyFont="1" applyFill="1" applyBorder="1" applyAlignment="1" applyProtection="1"/>
    <xf numFmtId="0" fontId="28" fillId="0" borderId="0" xfId="0" applyFont="1" applyFill="1" applyAlignment="1"/>
    <xf numFmtId="174" fontId="28" fillId="0" borderId="0" xfId="7" applyNumberFormat="1" applyFont="1" applyFill="1" applyAlignment="1" applyProtection="1"/>
    <xf numFmtId="174" fontId="28" fillId="0" borderId="2" xfId="7" applyNumberFormat="1" applyFont="1" applyFill="1" applyBorder="1" applyAlignment="1" applyProtection="1"/>
    <xf numFmtId="175" fontId="28" fillId="0" borderId="2" xfId="7" applyNumberFormat="1" applyFont="1" applyFill="1" applyBorder="1" applyAlignment="1" applyProtection="1"/>
    <xf numFmtId="164" fontId="28" fillId="0" borderId="2" xfId="7" applyFont="1" applyFill="1" applyBorder="1" applyAlignment="1" applyProtection="1"/>
    <xf numFmtId="174" fontId="29" fillId="0" borderId="2" xfId="7" applyNumberFormat="1" applyFont="1" applyFill="1" applyBorder="1" applyAlignment="1" applyProtection="1"/>
    <xf numFmtId="0" fontId="37" fillId="0" borderId="0" xfId="0" applyFont="1" applyAlignment="1"/>
    <xf numFmtId="0" fontId="20" fillId="0" borderId="0" xfId="0" applyFont="1" applyBorder="1" applyAlignment="1"/>
    <xf numFmtId="0" fontId="19" fillId="8" borderId="2" xfId="0" applyFont="1" applyFill="1" applyBorder="1" applyAlignment="1">
      <alignment wrapText="1"/>
    </xf>
    <xf numFmtId="0" fontId="19" fillId="8" borderId="2" xfId="0" applyFont="1" applyFill="1" applyBorder="1" applyAlignment="1">
      <alignment horizontal="center" wrapText="1"/>
    </xf>
    <xf numFmtId="0" fontId="29" fillId="0" borderId="2" xfId="0" applyFont="1" applyFill="1" applyBorder="1" applyAlignment="1">
      <alignment wrapText="1"/>
    </xf>
    <xf numFmtId="165" fontId="28" fillId="0" borderId="2" xfId="2" applyNumberFormat="1" applyFont="1" applyFill="1" applyBorder="1" applyAlignment="1" applyProtection="1">
      <alignment wrapText="1"/>
    </xf>
    <xf numFmtId="0" fontId="28" fillId="0" borderId="2" xfId="0" applyFont="1" applyFill="1" applyBorder="1" applyAlignment="1">
      <alignment horizontal="left" wrapText="1"/>
    </xf>
    <xf numFmtId="165" fontId="29" fillId="0" borderId="2" xfId="2" applyNumberFormat="1" applyFont="1" applyFill="1" applyBorder="1" applyAlignment="1" applyProtection="1">
      <alignment wrapText="1"/>
    </xf>
    <xf numFmtId="0" fontId="28" fillId="0" borderId="2" xfId="0" applyFont="1" applyFill="1" applyBorder="1" applyAlignment="1">
      <alignment wrapText="1"/>
    </xf>
    <xf numFmtId="0" fontId="28" fillId="0" borderId="2" xfId="0" applyFont="1" applyFill="1" applyBorder="1" applyAlignment="1">
      <alignment horizontal="right" wrapText="1"/>
    </xf>
    <xf numFmtId="166" fontId="28" fillId="0" borderId="2" xfId="2" applyNumberFormat="1" applyFont="1" applyFill="1" applyBorder="1" applyAlignment="1" applyProtection="1">
      <alignment wrapText="1"/>
    </xf>
    <xf numFmtId="0" fontId="28" fillId="0" borderId="2" xfId="0" applyFont="1" applyFill="1" applyBorder="1" applyAlignment="1">
      <alignment vertical="center" wrapText="1"/>
    </xf>
    <xf numFmtId="165" fontId="28" fillId="0" borderId="2" xfId="1" applyNumberFormat="1" applyFont="1" applyFill="1" applyBorder="1" applyAlignment="1" applyProtection="1">
      <alignment wrapText="1"/>
    </xf>
    <xf numFmtId="0" fontId="29" fillId="0" borderId="2" xfId="0" applyFont="1" applyFill="1" applyBorder="1" applyAlignment="1">
      <alignment horizontal="right" wrapText="1"/>
    </xf>
    <xf numFmtId="165" fontId="28" fillId="11" borderId="2" xfId="2" applyNumberFormat="1" applyFont="1" applyFill="1" applyBorder="1" applyAlignment="1" applyProtection="1">
      <alignment wrapText="1"/>
    </xf>
    <xf numFmtId="165" fontId="29" fillId="0" borderId="2" xfId="0" applyNumberFormat="1" applyFont="1" applyFill="1" applyBorder="1" applyAlignment="1">
      <alignment wrapText="1"/>
    </xf>
    <xf numFmtId="165" fontId="28" fillId="0" borderId="2" xfId="0" applyNumberFormat="1" applyFont="1" applyFill="1" applyBorder="1" applyAlignment="1">
      <alignment wrapText="1"/>
    </xf>
    <xf numFmtId="0" fontId="29" fillId="0" borderId="2" xfId="0" applyFont="1" applyFill="1" applyBorder="1" applyAlignment="1">
      <alignment horizontal="left" wrapText="1"/>
    </xf>
    <xf numFmtId="0" fontId="17" fillId="0" borderId="0" xfId="0" applyFont="1" applyBorder="1">
      <alignment vertical="center"/>
    </xf>
    <xf numFmtId="0" fontId="38" fillId="0" borderId="0" xfId="0" applyFont="1" applyBorder="1">
      <alignment vertical="center"/>
    </xf>
    <xf numFmtId="0" fontId="22" fillId="0" borderId="0" xfId="0" applyFont="1" applyBorder="1">
      <alignment vertical="center"/>
    </xf>
    <xf numFmtId="0" fontId="19" fillId="8" borderId="15" xfId="0" applyFont="1" applyFill="1" applyBorder="1">
      <alignment vertical="center"/>
    </xf>
    <xf numFmtId="0" fontId="19" fillId="8" borderId="8" xfId="0" applyFont="1" applyFill="1" applyBorder="1" applyAlignment="1">
      <alignment horizontal="center"/>
    </xf>
    <xf numFmtId="0" fontId="17" fillId="0" borderId="16" xfId="0" applyFont="1" applyFill="1" applyBorder="1">
      <alignment vertical="center"/>
    </xf>
    <xf numFmtId="173" fontId="22" fillId="0" borderId="2" xfId="2" applyNumberFormat="1" applyFont="1" applyFill="1" applyBorder="1" applyAlignment="1" applyProtection="1">
      <alignment vertical="center"/>
    </xf>
    <xf numFmtId="3" fontId="39" fillId="0" borderId="2" xfId="6" applyNumberFormat="1" applyFont="1" applyFill="1" applyBorder="1" applyAlignment="1" applyProtection="1">
      <alignment horizontal="right" vertical="center"/>
    </xf>
    <xf numFmtId="0" fontId="17" fillId="0" borderId="0" xfId="0" applyFont="1" applyFill="1" applyBorder="1">
      <alignment vertical="center"/>
    </xf>
    <xf numFmtId="0" fontId="40" fillId="0" borderId="16" xfId="0" applyFont="1" applyFill="1" applyBorder="1">
      <alignment vertical="center"/>
    </xf>
    <xf numFmtId="4" fontId="17" fillId="0" borderId="2" xfId="2" applyNumberFormat="1" applyFont="1" applyFill="1" applyBorder="1" applyAlignment="1" applyProtection="1">
      <alignment vertical="center"/>
    </xf>
    <xf numFmtId="0" fontId="22" fillId="0" borderId="16" xfId="0" applyFont="1" applyFill="1" applyBorder="1" applyAlignment="1">
      <alignment horizontal="left" vertical="center"/>
    </xf>
    <xf numFmtId="4" fontId="41" fillId="0" borderId="2" xfId="2" applyNumberFormat="1" applyFont="1" applyFill="1" applyBorder="1" applyAlignment="1" applyProtection="1">
      <alignment vertical="center"/>
    </xf>
    <xf numFmtId="0" fontId="22" fillId="0" borderId="16" xfId="0" applyFont="1" applyFill="1" applyBorder="1" applyAlignment="1">
      <alignment horizontal="left" vertical="center" indent="1"/>
    </xf>
    <xf numFmtId="3" fontId="22" fillId="0" borderId="2" xfId="2" applyNumberFormat="1" applyFont="1" applyFill="1" applyBorder="1" applyAlignment="1" applyProtection="1">
      <alignment vertical="center"/>
    </xf>
    <xf numFmtId="3" fontId="17" fillId="0" borderId="0" xfId="0" applyNumberFormat="1" applyFont="1" applyBorder="1">
      <alignment vertical="center"/>
    </xf>
    <xf numFmtId="0" fontId="17" fillId="0" borderId="16" xfId="0" applyFont="1" applyFill="1" applyBorder="1" applyAlignment="1">
      <alignment horizontal="left" vertical="center" indent="1"/>
    </xf>
    <xf numFmtId="3" fontId="17" fillId="0" borderId="2" xfId="2" applyNumberFormat="1" applyFont="1" applyFill="1" applyBorder="1" applyAlignment="1" applyProtection="1">
      <alignment vertical="center"/>
    </xf>
    <xf numFmtId="0" fontId="17" fillId="0" borderId="16" xfId="0" applyFont="1" applyFill="1" applyBorder="1" applyAlignment="1">
      <alignment horizontal="left" vertical="center"/>
    </xf>
    <xf numFmtId="0" fontId="22" fillId="0" borderId="16" xfId="0" applyFont="1" applyFill="1" applyBorder="1">
      <alignment vertical="center"/>
    </xf>
    <xf numFmtId="3" fontId="22" fillId="0" borderId="2" xfId="6" applyNumberFormat="1" applyFont="1" applyFill="1" applyBorder="1" applyAlignment="1" applyProtection="1">
      <alignment vertical="center"/>
    </xf>
    <xf numFmtId="3" fontId="17" fillId="0" borderId="2" xfId="6" applyNumberFormat="1" applyFont="1" applyFill="1" applyBorder="1" applyAlignment="1" applyProtection="1">
      <alignment vertical="center"/>
    </xf>
    <xf numFmtId="3" fontId="41" fillId="0" borderId="2" xfId="2" applyNumberFormat="1" applyFont="1" applyFill="1" applyBorder="1" applyAlignment="1" applyProtection="1">
      <alignment vertical="center"/>
    </xf>
    <xf numFmtId="3" fontId="39" fillId="0" borderId="2" xfId="2" applyNumberFormat="1" applyFont="1" applyFill="1" applyBorder="1" applyAlignment="1" applyProtection="1">
      <alignment vertical="center"/>
    </xf>
    <xf numFmtId="3" fontId="17" fillId="0" borderId="2" xfId="0" applyNumberFormat="1" applyFont="1" applyFill="1" applyBorder="1">
      <alignment vertical="center"/>
    </xf>
    <xf numFmtId="0" fontId="29" fillId="0" borderId="16" xfId="0" applyFont="1" applyFill="1" applyBorder="1">
      <alignment vertical="center"/>
    </xf>
    <xf numFmtId="3" fontId="29" fillId="0" borderId="2" xfId="2" applyNumberFormat="1" applyFont="1" applyFill="1" applyBorder="1" applyAlignment="1" applyProtection="1">
      <alignment vertical="center"/>
    </xf>
    <xf numFmtId="4" fontId="17" fillId="0" borderId="2" xfId="0" applyNumberFormat="1" applyFont="1" applyFill="1" applyBorder="1">
      <alignment vertical="center"/>
    </xf>
    <xf numFmtId="0" fontId="42" fillId="0" borderId="16" xfId="0" applyFont="1" applyFill="1" applyBorder="1">
      <alignment vertical="center"/>
    </xf>
    <xf numFmtId="4" fontId="43" fillId="0" borderId="2" xfId="0" applyNumberFormat="1" applyFont="1" applyFill="1" applyBorder="1">
      <alignment vertical="center"/>
    </xf>
    <xf numFmtId="0" fontId="44" fillId="0" borderId="16" xfId="0" applyFont="1" applyFill="1" applyBorder="1">
      <alignment vertical="center"/>
    </xf>
    <xf numFmtId="4" fontId="44" fillId="0" borderId="2" xfId="6" applyNumberFormat="1" applyFont="1" applyFill="1" applyBorder="1" applyAlignment="1" applyProtection="1">
      <alignment vertical="center"/>
    </xf>
    <xf numFmtId="0" fontId="44" fillId="0" borderId="17" xfId="0" applyFont="1" applyFill="1" applyBorder="1">
      <alignment vertical="center"/>
    </xf>
    <xf numFmtId="4" fontId="44" fillId="0" borderId="18" xfId="0" applyNumberFormat="1" applyFont="1" applyFill="1" applyBorder="1">
      <alignment vertical="center"/>
    </xf>
    <xf numFmtId="4" fontId="17" fillId="0" borderId="0" xfId="0" applyNumberFormat="1" applyFont="1" applyBorder="1">
      <alignment vertical="center"/>
    </xf>
    <xf numFmtId="0" fontId="48" fillId="0" borderId="0" xfId="0" applyFont="1" applyAlignment="1"/>
    <xf numFmtId="0" fontId="16" fillId="0" borderId="0" xfId="0" applyFont="1" applyAlignment="1"/>
    <xf numFmtId="0" fontId="17" fillId="5" borderId="0" xfId="0" applyFont="1" applyFill="1" applyAlignment="1"/>
    <xf numFmtId="0" fontId="22" fillId="5" borderId="2" xfId="0" applyFont="1" applyFill="1" applyBorder="1" applyAlignment="1"/>
    <xf numFmtId="0" fontId="22" fillId="9" borderId="2" xfId="0" applyFont="1" applyFill="1" applyBorder="1" applyAlignment="1"/>
    <xf numFmtId="0" fontId="17" fillId="5" borderId="2" xfId="0" applyFont="1" applyFill="1" applyBorder="1" applyAlignment="1"/>
    <xf numFmtId="2" fontId="17" fillId="5" borderId="2" xfId="0" applyNumberFormat="1" applyFont="1" applyFill="1" applyBorder="1" applyAlignment="1"/>
    <xf numFmtId="172" fontId="17" fillId="5" borderId="2" xfId="0" applyNumberFormat="1" applyFont="1" applyFill="1" applyBorder="1" applyAlignment="1"/>
    <xf numFmtId="2" fontId="22" fillId="5" borderId="2" xfId="0" applyNumberFormat="1" applyFont="1" applyFill="1" applyBorder="1" applyAlignment="1"/>
    <xf numFmtId="0" fontId="49" fillId="0" borderId="0" xfId="0" applyFont="1" applyAlignment="1"/>
    <xf numFmtId="0" fontId="18" fillId="0" borderId="0" xfId="0" applyFont="1" applyAlignment="1">
      <alignment wrapText="1"/>
    </xf>
    <xf numFmtId="0" fontId="19" fillId="8"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165" fontId="17" fillId="0" borderId="2" xfId="1" applyNumberFormat="1" applyFont="1" applyFill="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0" applyFont="1" applyFill="1" applyBorder="1" applyAlignment="1">
      <alignment vertical="center" wrapText="1"/>
    </xf>
    <xf numFmtId="0" fontId="20" fillId="5" borderId="2" xfId="0" applyFont="1" applyFill="1" applyBorder="1" applyAlignment="1">
      <alignment horizontal="center" vertical="center" wrapText="1"/>
    </xf>
    <xf numFmtId="165" fontId="18" fillId="0" borderId="2" xfId="1" applyNumberFormat="1" applyFont="1" applyFill="1" applyBorder="1" applyAlignment="1" applyProtection="1">
      <alignment horizontal="right" vertic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20" fillId="5" borderId="5" xfId="0" applyFont="1" applyFill="1" applyBorder="1" applyAlignment="1">
      <alignment horizontal="center" vertical="center" wrapText="1"/>
    </xf>
    <xf numFmtId="165" fontId="20" fillId="0" borderId="2" xfId="1" applyNumberFormat="1" applyFont="1" applyFill="1" applyBorder="1" applyAlignment="1" applyProtection="1">
      <alignment horizontal="right" vertical="center" wrapText="1"/>
    </xf>
    <xf numFmtId="0" fontId="18" fillId="0" borderId="2" xfId="0" applyFont="1" applyBorder="1" applyAlignment="1">
      <alignment horizontal="right" vertical="center" wrapText="1"/>
    </xf>
    <xf numFmtId="9" fontId="20" fillId="6" borderId="2" xfId="0" applyNumberFormat="1" applyFont="1" applyFill="1" applyBorder="1" applyAlignment="1">
      <alignment horizontal="center" vertical="center" wrapText="1"/>
    </xf>
    <xf numFmtId="174" fontId="20" fillId="0" borderId="2" xfId="1" applyNumberFormat="1" applyFont="1" applyFill="1" applyBorder="1" applyAlignment="1" applyProtection="1">
      <alignment horizontal="right" vertical="center" wrapText="1"/>
    </xf>
    <xf numFmtId="0" fontId="18" fillId="0" borderId="0" xfId="0" applyFont="1" applyBorder="1" applyAlignment="1">
      <alignment horizontal="center"/>
    </xf>
    <xf numFmtId="9" fontId="18" fillId="6" borderId="0" xfId="0" applyNumberFormat="1" applyFont="1" applyFill="1" applyAlignment="1"/>
    <xf numFmtId="0" fontId="18" fillId="6" borderId="0" xfId="0" applyNumberFormat="1" applyFont="1" applyFill="1" applyAlignment="1"/>
    <xf numFmtId="171" fontId="18" fillId="0" borderId="0" xfId="0" applyNumberFormat="1" applyFont="1" applyAlignment="1"/>
    <xf numFmtId="170" fontId="18" fillId="0" borderId="0" xfId="0" applyNumberFormat="1" applyFont="1" applyAlignment="1"/>
    <xf numFmtId="0" fontId="19" fillId="8" borderId="2" xfId="0" applyFont="1" applyFill="1" applyBorder="1" applyAlignment="1">
      <alignment horizontal="right"/>
    </xf>
    <xf numFmtId="2" fontId="19" fillId="8" borderId="2" xfId="0" applyNumberFormat="1" applyFont="1" applyFill="1" applyBorder="1" applyAlignment="1">
      <alignment horizontal="right"/>
    </xf>
    <xf numFmtId="0" fontId="22" fillId="0" borderId="0" xfId="4" applyFont="1" applyFill="1" applyBorder="1" applyAlignment="1" applyProtection="1">
      <alignment horizontal="center"/>
    </xf>
    <xf numFmtId="0" fontId="19" fillId="8" borderId="2" xfId="5" applyFont="1" applyFill="1" applyBorder="1" applyAlignment="1" applyProtection="1"/>
    <xf numFmtId="0" fontId="29" fillId="8" borderId="2" xfId="0" applyFont="1" applyFill="1" applyBorder="1" applyAlignment="1"/>
    <xf numFmtId="0" fontId="29" fillId="0" borderId="2" xfId="0" applyFont="1" applyFill="1" applyBorder="1" applyAlignment="1">
      <alignment horizontal="center"/>
    </xf>
    <xf numFmtId="0" fontId="52" fillId="0" borderId="2" xfId="0" applyFont="1" applyFill="1" applyBorder="1" applyAlignment="1"/>
    <xf numFmtId="0" fontId="53" fillId="0" borderId="2" xfId="0" applyFont="1" applyFill="1" applyBorder="1" applyAlignment="1">
      <alignment horizontal="center"/>
    </xf>
    <xf numFmtId="0" fontId="18" fillId="0" borderId="2" xfId="0" applyFont="1" applyFill="1" applyBorder="1" applyAlignment="1">
      <alignment horizontal="left"/>
    </xf>
    <xf numFmtId="0" fontId="29" fillId="0" borderId="2" xfId="0" applyFont="1" applyFill="1" applyBorder="1" applyAlignment="1">
      <alignment horizontal="left"/>
    </xf>
    <xf numFmtId="166" fontId="17" fillId="0" borderId="2" xfId="0" applyNumberFormat="1" applyFont="1" applyFill="1" applyBorder="1" applyAlignment="1"/>
    <xf numFmtId="0" fontId="20" fillId="0" borderId="2" xfId="0" applyFont="1" applyFill="1" applyBorder="1" applyAlignment="1">
      <alignment horizontal="left"/>
    </xf>
    <xf numFmtId="166" fontId="22" fillId="0" borderId="2" xfId="0" applyNumberFormat="1" applyFont="1" applyFill="1" applyBorder="1" applyAlignment="1"/>
    <xf numFmtId="0" fontId="18" fillId="0" borderId="0" xfId="0" applyFont="1" applyAlignment="1">
      <alignment horizontal="left"/>
    </xf>
    <xf numFmtId="166" fontId="17" fillId="0" borderId="0" xfId="0" applyNumberFormat="1" applyFont="1" applyFill="1" applyBorder="1" applyAlignment="1"/>
    <xf numFmtId="0" fontId="29" fillId="10" borderId="0" xfId="0" applyFont="1" applyFill="1" applyBorder="1" applyAlignment="1">
      <alignment horizontal="left" wrapText="1"/>
    </xf>
    <xf numFmtId="0" fontId="29" fillId="0" borderId="0" xfId="0" applyFont="1" applyFill="1" applyBorder="1" applyAlignment="1">
      <alignment horizontal="center"/>
    </xf>
    <xf numFmtId="0" fontId="29" fillId="0" borderId="0" xfId="0" applyFont="1" applyFill="1" applyBorder="1" applyAlignment="1"/>
    <xf numFmtId="0" fontId="29" fillId="0" borderId="0" xfId="0" applyFont="1" applyFill="1" applyBorder="1" applyAlignment="1">
      <alignment wrapText="1"/>
    </xf>
    <xf numFmtId="10" fontId="18" fillId="0" borderId="0" xfId="0" applyNumberFormat="1" applyFont="1" applyBorder="1" applyAlignment="1"/>
    <xf numFmtId="0" fontId="18" fillId="0" borderId="0" xfId="0" applyFont="1" applyFill="1" applyBorder="1" applyAlignment="1">
      <alignment wrapText="1"/>
    </xf>
    <xf numFmtId="10" fontId="28" fillId="0" borderId="0" xfId="3" applyNumberFormat="1" applyFont="1" applyBorder="1" applyAlignment="1" applyProtection="1"/>
    <xf numFmtId="9" fontId="18" fillId="0" borderId="0" xfId="0" applyNumberFormat="1" applyFont="1" applyBorder="1" applyAlignment="1"/>
    <xf numFmtId="9" fontId="18" fillId="0" borderId="0" xfId="0" applyNumberFormat="1" applyFont="1" applyFill="1" applyBorder="1" applyAlignment="1"/>
    <xf numFmtId="0" fontId="17" fillId="0" borderId="0" xfId="0" applyFont="1" applyAlignment="1"/>
    <xf numFmtId="0" fontId="54" fillId="0" borderId="0" xfId="5" applyFont="1" applyFill="1" applyBorder="1" applyAlignment="1" applyProtection="1"/>
    <xf numFmtId="0" fontId="19" fillId="9" borderId="2" xfId="0" applyFont="1" applyFill="1" applyBorder="1">
      <alignment vertical="center"/>
    </xf>
    <xf numFmtId="0" fontId="19" fillId="9" borderId="2" xfId="0" applyFont="1" applyFill="1" applyBorder="1" applyAlignment="1">
      <alignment horizontal="center" vertical="center"/>
    </xf>
    <xf numFmtId="166" fontId="23" fillId="9" borderId="2" xfId="2" applyNumberFormat="1" applyFont="1" applyFill="1" applyBorder="1" applyAlignment="1" applyProtection="1">
      <alignment horizontal="center"/>
    </xf>
    <xf numFmtId="166" fontId="17" fillId="0" borderId="0" xfId="2" applyNumberFormat="1" applyFont="1" applyFill="1" applyBorder="1" applyAlignment="1" applyProtection="1"/>
    <xf numFmtId="0" fontId="22" fillId="0" borderId="2" xfId="0" applyFont="1" applyBorder="1">
      <alignment vertical="center"/>
    </xf>
    <xf numFmtId="0" fontId="22" fillId="0" borderId="2" xfId="0" applyFont="1" applyBorder="1" applyAlignment="1">
      <alignment horizontal="center" vertical="center"/>
    </xf>
    <xf numFmtId="166" fontId="17" fillId="0" borderId="2" xfId="2" applyNumberFormat="1" applyFont="1" applyFill="1" applyBorder="1" applyAlignment="1" applyProtection="1"/>
    <xf numFmtId="0" fontId="22" fillId="0" borderId="2" xfId="0" applyFont="1" applyBorder="1" applyAlignment="1"/>
    <xf numFmtId="0" fontId="17" fillId="0" borderId="2" xfId="0" applyFont="1" applyBorder="1" applyAlignment="1"/>
    <xf numFmtId="166" fontId="22" fillId="0" borderId="2" xfId="0" applyNumberFormat="1" applyFont="1" applyBorder="1" applyAlignment="1"/>
    <xf numFmtId="166" fontId="22" fillId="0" borderId="0" xfId="0" applyNumberFormat="1" applyFont="1" applyAlignment="1"/>
    <xf numFmtId="166" fontId="17" fillId="0" borderId="0" xfId="0" applyNumberFormat="1" applyFont="1">
      <alignment vertical="center"/>
    </xf>
    <xf numFmtId="168" fontId="22" fillId="0" borderId="0" xfId="0" applyNumberFormat="1" applyFont="1" applyFill="1" applyBorder="1" applyAlignment="1">
      <alignment horizontal="left"/>
    </xf>
    <xf numFmtId="0" fontId="17" fillId="0" borderId="0" xfId="0" applyFont="1" applyFill="1" applyBorder="1" applyAlignment="1"/>
    <xf numFmtId="0" fontId="22" fillId="0" borderId="0" xfId="4" applyFont="1" applyFill="1" applyBorder="1" applyAlignment="1" applyProtection="1"/>
    <xf numFmtId="0" fontId="22" fillId="0" borderId="0" xfId="0" applyFont="1" applyFill="1" applyBorder="1" applyAlignment="1"/>
    <xf numFmtId="169" fontId="17" fillId="0" borderId="2" xfId="6" applyNumberFormat="1" applyFont="1" applyFill="1" applyBorder="1" applyAlignment="1" applyProtection="1">
      <alignment vertical="center"/>
    </xf>
    <xf numFmtId="170" fontId="22" fillId="0" borderId="0" xfId="6" applyNumberFormat="1" applyFont="1" applyFill="1" applyBorder="1" applyAlignment="1" applyProtection="1">
      <alignment vertical="center"/>
    </xf>
    <xf numFmtId="169" fontId="22" fillId="0" borderId="2" xfId="6" applyNumberFormat="1" applyFont="1" applyFill="1" applyBorder="1" applyAlignment="1" applyProtection="1">
      <alignment vertical="center"/>
    </xf>
    <xf numFmtId="0" fontId="28" fillId="0" borderId="12" xfId="0" applyFont="1" applyBorder="1" applyAlignment="1"/>
    <xf numFmtId="0" fontId="22" fillId="0" borderId="12" xfId="0" applyFont="1" applyBorder="1" applyAlignment="1"/>
    <xf numFmtId="9" fontId="22" fillId="6" borderId="0" xfId="3" applyFont="1" applyFill="1" applyBorder="1" applyAlignment="1" applyProtection="1"/>
    <xf numFmtId="0" fontId="17" fillId="0" borderId="2"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xf>
    <xf numFmtId="167" fontId="17" fillId="0" borderId="2" xfId="2" applyFont="1" applyFill="1" applyBorder="1" applyAlignment="1" applyProtection="1">
      <alignment horizontal="right" vertical="center" wrapText="1"/>
    </xf>
    <xf numFmtId="165" fontId="17" fillId="0" borderId="2" xfId="1" applyNumberFormat="1" applyFont="1" applyFill="1" applyBorder="1" applyAlignment="1" applyProtection="1">
      <alignment horizontal="left" vertical="center" wrapText="1"/>
    </xf>
    <xf numFmtId="165" fontId="17" fillId="0" borderId="2" xfId="1" applyNumberFormat="1" applyFont="1" applyFill="1" applyBorder="1" applyAlignment="1" applyProtection="1">
      <alignment vertical="center" wrapText="1"/>
    </xf>
    <xf numFmtId="165" fontId="17" fillId="0" borderId="2" xfId="1" applyNumberFormat="1" applyFont="1" applyFill="1" applyBorder="1" applyAlignment="1" applyProtection="1">
      <alignment horizontal="right" vertical="center" wrapText="1"/>
    </xf>
    <xf numFmtId="165" fontId="18" fillId="0" borderId="0" xfId="1" applyNumberFormat="1" applyFont="1">
      <protection locked="0"/>
    </xf>
    <xf numFmtId="166" fontId="20" fillId="0" borderId="2" xfId="2" applyNumberFormat="1" applyFont="1" applyBorder="1" applyAlignment="1" applyProtection="1">
      <alignment horizontal="right" vertical="center" wrapText="1"/>
    </xf>
    <xf numFmtId="0" fontId="18" fillId="0" borderId="2" xfId="0" applyFont="1" applyFill="1" applyBorder="1" applyAlignment="1">
      <alignment horizontal="center" vertical="center" wrapText="1"/>
    </xf>
    <xf numFmtId="166" fontId="18" fillId="0" borderId="2" xfId="2" applyNumberFormat="1" applyFont="1" applyFill="1" applyBorder="1" applyAlignment="1" applyProtection="1">
      <alignment horizontal="right" vertical="center" wrapText="1"/>
    </xf>
    <xf numFmtId="0" fontId="20" fillId="0" borderId="2" xfId="0" applyFont="1" applyFill="1" applyBorder="1" applyAlignment="1">
      <alignment horizontal="center" vertical="center" wrapText="1"/>
    </xf>
    <xf numFmtId="166" fontId="20" fillId="0" borderId="2" xfId="2" applyNumberFormat="1" applyFont="1" applyFill="1" applyBorder="1" applyAlignment="1" applyProtection="1">
      <alignment horizontal="right" vertical="center" wrapText="1"/>
    </xf>
    <xf numFmtId="0" fontId="18" fillId="0" borderId="2" xfId="0" applyFont="1" applyFill="1" applyBorder="1" applyAlignment="1">
      <alignment horizontal="right" vertical="center" wrapText="1"/>
    </xf>
    <xf numFmtId="9" fontId="18" fillId="0" borderId="2" xfId="0" applyNumberFormat="1" applyFont="1" applyFill="1" applyBorder="1" applyAlignment="1">
      <alignment horizontal="center" vertical="center" wrapText="1"/>
    </xf>
    <xf numFmtId="167" fontId="18" fillId="0" borderId="0" xfId="0" applyNumberFormat="1" applyFont="1" applyAlignment="1"/>
    <xf numFmtId="167" fontId="18" fillId="0" borderId="0" xfId="2" applyFont="1" applyAlignment="1" applyProtection="1"/>
    <xf numFmtId="0" fontId="19" fillId="8" borderId="2" xfId="0" applyFont="1" applyFill="1" applyBorder="1" applyAlignment="1">
      <alignment vertical="center" wrapText="1"/>
    </xf>
    <xf numFmtId="0" fontId="18" fillId="5" borderId="2" xfId="0" applyFont="1" applyFill="1" applyBorder="1" applyAlignment="1">
      <alignment horizontal="center" vertical="center" wrapText="1"/>
    </xf>
    <xf numFmtId="0" fontId="18" fillId="5" borderId="2" xfId="0" applyFont="1" applyFill="1" applyBorder="1" applyAlignment="1">
      <alignment vertical="center" wrapText="1"/>
    </xf>
    <xf numFmtId="166" fontId="18" fillId="5" borderId="2" xfId="2" applyNumberFormat="1" applyFont="1" applyFill="1" applyBorder="1" applyAlignment="1" applyProtection="1">
      <alignment horizontal="center" vertical="center" wrapText="1"/>
    </xf>
    <xf numFmtId="166" fontId="18" fillId="5" borderId="2" xfId="2" applyNumberFormat="1" applyFont="1" applyFill="1" applyBorder="1" applyAlignment="1" applyProtection="1">
      <alignment horizontal="right" vertical="center" wrapText="1"/>
    </xf>
    <xf numFmtId="166" fontId="18" fillId="0" borderId="2" xfId="2" applyNumberFormat="1" applyFont="1" applyFill="1" applyBorder="1" applyAlignment="1" applyProtection="1">
      <alignment horizontal="center" vertical="center" wrapText="1"/>
    </xf>
    <xf numFmtId="0" fontId="20" fillId="0" borderId="2" xfId="0" applyFont="1" applyFill="1" applyBorder="1" applyAlignment="1">
      <alignment horizontal="right" vertical="center" wrapText="1"/>
    </xf>
    <xf numFmtId="0" fontId="55" fillId="8" borderId="2" xfId="0" applyFont="1" applyFill="1" applyBorder="1" applyAlignment="1">
      <alignment horizontal="center" vertical="center" wrapText="1"/>
    </xf>
    <xf numFmtId="0" fontId="55" fillId="8" borderId="9" xfId="0" applyFont="1" applyFill="1" applyBorder="1" applyAlignment="1">
      <alignment horizontal="center" vertical="center" wrapText="1"/>
    </xf>
    <xf numFmtId="0" fontId="56" fillId="0" borderId="2" xfId="0" applyFont="1" applyBorder="1" applyAlignment="1">
      <alignment vertical="center" wrapText="1"/>
    </xf>
    <xf numFmtId="166" fontId="18" fillId="0" borderId="0" xfId="0" applyNumberFormat="1" applyFont="1" applyAlignment="1"/>
    <xf numFmtId="0" fontId="55" fillId="8" borderId="2" xfId="0" applyFont="1" applyFill="1" applyBorder="1" applyAlignment="1">
      <alignment vertical="center" wrapText="1"/>
    </xf>
    <xf numFmtId="0" fontId="56" fillId="0" borderId="2" xfId="0" applyFont="1" applyBorder="1" applyAlignment="1">
      <alignment horizontal="center" vertical="center" wrapText="1"/>
    </xf>
    <xf numFmtId="9" fontId="56" fillId="0" borderId="2" xfId="2" applyNumberFormat="1" applyFont="1" applyFill="1" applyBorder="1" applyAlignment="1" applyProtection="1">
      <alignment horizontal="right" vertical="center" wrapText="1"/>
    </xf>
    <xf numFmtId="166" fontId="56" fillId="0" borderId="2" xfId="2" applyNumberFormat="1" applyFont="1" applyFill="1" applyBorder="1" applyAlignment="1" applyProtection="1">
      <alignment horizontal="right" vertical="center" wrapText="1"/>
    </xf>
    <xf numFmtId="166" fontId="57" fillId="0" borderId="2" xfId="2" applyNumberFormat="1" applyFont="1" applyBorder="1" applyAlignment="1" applyProtection="1">
      <alignment horizontal="right" vertical="center" wrapText="1"/>
    </xf>
    <xf numFmtId="0" fontId="55" fillId="9" borderId="2" xfId="0" applyFont="1" applyFill="1" applyBorder="1" applyAlignment="1">
      <alignment vertical="center" wrapText="1"/>
    </xf>
    <xf numFmtId="0" fontId="55" fillId="9" borderId="2" xfId="0" applyFont="1" applyFill="1" applyBorder="1">
      <alignment vertical="center"/>
    </xf>
    <xf numFmtId="0" fontId="55" fillId="9" borderId="2" xfId="0" applyFont="1" applyFill="1" applyBorder="1" applyAlignment="1">
      <alignment horizontal="center" vertical="center"/>
    </xf>
    <xf numFmtId="0" fontId="55" fillId="9" borderId="2" xfId="0" applyFont="1" applyFill="1" applyBorder="1" applyAlignment="1">
      <alignment horizontal="center" vertical="center" wrapText="1"/>
    </xf>
    <xf numFmtId="10" fontId="56" fillId="0" borderId="2" xfId="0" applyNumberFormat="1" applyFont="1" applyBorder="1" applyAlignment="1">
      <alignment horizontal="center" vertical="center" wrapText="1"/>
    </xf>
    <xf numFmtId="0" fontId="56" fillId="0" borderId="2" xfId="0" applyFont="1" applyFill="1" applyBorder="1" applyAlignment="1">
      <alignment horizontal="left" vertical="center" wrapText="1"/>
    </xf>
    <xf numFmtId="10" fontId="18" fillId="0" borderId="0" xfId="3" applyNumberFormat="1" applyFont="1">
      <protection locked="0"/>
    </xf>
    <xf numFmtId="10" fontId="56" fillId="0" borderId="2" xfId="3" applyNumberFormat="1" applyFont="1" applyBorder="1" applyAlignment="1" applyProtection="1">
      <alignment horizontal="center" vertical="center" wrapText="1"/>
    </xf>
    <xf numFmtId="3" fontId="56" fillId="0" borderId="2" xfId="0" applyNumberFormat="1" applyFont="1" applyBorder="1" applyAlignment="1">
      <alignment horizontal="center" vertical="center" wrapText="1"/>
    </xf>
    <xf numFmtId="2" fontId="56"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8" fillId="0" borderId="0" xfId="0" applyFont="1" applyAlignment="1">
      <alignment vertical="center" wrapText="1"/>
    </xf>
    <xf numFmtId="0" fontId="18" fillId="5" borderId="5" xfId="0" applyFont="1" applyFill="1" applyBorder="1" applyAlignment="1">
      <alignment vertical="center" wrapText="1"/>
    </xf>
    <xf numFmtId="0" fontId="18" fillId="6" borderId="5" xfId="0" applyFont="1" applyFill="1" applyBorder="1" applyAlignment="1">
      <alignment vertical="center" wrapText="1"/>
    </xf>
    <xf numFmtId="0" fontId="18" fillId="0" borderId="0" xfId="0" applyFont="1" applyFill="1" applyAlignment="1">
      <alignment vertical="center" wrapText="1"/>
    </xf>
    <xf numFmtId="0" fontId="20" fillId="0" borderId="2" xfId="0" applyFont="1" applyBorder="1" applyAlignment="1">
      <alignment vertical="center" wrapText="1"/>
    </xf>
    <xf numFmtId="0" fontId="20" fillId="7" borderId="2" xfId="0" applyFont="1" applyFill="1" applyBorder="1" applyAlignment="1">
      <alignment vertical="center" wrapText="1"/>
    </xf>
    <xf numFmtId="0" fontId="63" fillId="0" borderId="2" xfId="0" applyFont="1" applyBorder="1" applyAlignment="1">
      <alignment vertical="center" wrapText="1"/>
    </xf>
    <xf numFmtId="0" fontId="18" fillId="0" borderId="6" xfId="0" applyFont="1" applyFill="1" applyBorder="1" applyAlignment="1">
      <alignment vertical="center" wrapText="1"/>
    </xf>
    <xf numFmtId="0" fontId="20" fillId="7" borderId="6" xfId="0" applyFont="1" applyFill="1" applyBorder="1" applyAlignment="1">
      <alignment vertical="center" wrapText="1"/>
    </xf>
    <xf numFmtId="174" fontId="18" fillId="0" borderId="2" xfId="0" applyNumberFormat="1" applyFont="1" applyBorder="1" applyAlignment="1"/>
    <xf numFmtId="43" fontId="11" fillId="0" borderId="0" xfId="1">
      <protection locked="0"/>
    </xf>
    <xf numFmtId="174" fontId="18" fillId="0" borderId="2" xfId="0" applyNumberFormat="1" applyFont="1" applyFill="1" applyBorder="1" applyAlignment="1"/>
    <xf numFmtId="165" fontId="28" fillId="0" borderId="2" xfId="1" applyNumberFormat="1" applyFont="1" applyBorder="1" applyAlignment="1" applyProtection="1"/>
    <xf numFmtId="1" fontId="20" fillId="0" borderId="0" xfId="0" applyNumberFormat="1" applyFont="1" applyFill="1" applyBorder="1" applyAlignment="1"/>
    <xf numFmtId="0" fontId="56" fillId="0" borderId="2" xfId="0" applyFont="1" applyFill="1" applyBorder="1" applyAlignment="1">
      <alignment horizontal="right" vertical="center" wrapText="1"/>
    </xf>
    <xf numFmtId="0" fontId="56" fillId="0" borderId="2" xfId="0" applyFont="1" applyFill="1" applyBorder="1" applyAlignment="1">
      <alignment vertical="center" wrapText="1"/>
    </xf>
    <xf numFmtId="165" fontId="56" fillId="0" borderId="2" xfId="1" applyNumberFormat="1" applyFont="1" applyFill="1" applyBorder="1" applyAlignment="1" applyProtection="1">
      <alignment vertical="center" wrapText="1"/>
    </xf>
    <xf numFmtId="9" fontId="56" fillId="0" borderId="2" xfId="0" applyNumberFormat="1" applyFont="1" applyFill="1" applyBorder="1" applyAlignment="1"/>
    <xf numFmtId="165" fontId="56" fillId="0" borderId="2" xfId="0" applyNumberFormat="1" applyFont="1" applyFill="1" applyBorder="1" applyAlignment="1"/>
    <xf numFmtId="0" fontId="56" fillId="0" borderId="2" xfId="0" applyFont="1" applyFill="1" applyBorder="1" applyAlignment="1"/>
    <xf numFmtId="165" fontId="57" fillId="0" borderId="2" xfId="1" applyNumberFormat="1" applyFont="1" applyFill="1" applyBorder="1" applyAlignment="1" applyProtection="1">
      <alignment horizontal="center" vertical="center" wrapText="1"/>
    </xf>
    <xf numFmtId="165" fontId="29" fillId="0" borderId="2" xfId="7" applyNumberFormat="1" applyFont="1" applyFill="1" applyBorder="1" applyAlignment="1" applyProtection="1"/>
    <xf numFmtId="0" fontId="64" fillId="12" borderId="0" xfId="0" applyFont="1" applyFill="1">
      <alignment vertical="center"/>
    </xf>
    <xf numFmtId="172" fontId="20" fillId="5" borderId="2" xfId="0" applyNumberFormat="1" applyFont="1" applyFill="1" applyBorder="1" applyAlignment="1"/>
    <xf numFmtId="0" fontId="65"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17" fillId="0" borderId="0" xfId="0" applyFont="1" applyAlignment="1">
      <alignment horizontal="right" vertical="center"/>
    </xf>
    <xf numFmtId="166" fontId="67" fillId="0" borderId="2" xfId="2" applyNumberFormat="1" applyFont="1" applyFill="1" applyBorder="1" applyAlignment="1" applyProtection="1">
      <alignment horizontal="right" vertical="center" wrapText="1"/>
    </xf>
    <xf numFmtId="0" fontId="66" fillId="0" borderId="0" xfId="0" applyFont="1">
      <alignment vertical="center"/>
    </xf>
    <xf numFmtId="0" fontId="68" fillId="0" borderId="2" xfId="0" applyFont="1" applyFill="1" applyBorder="1" applyAlignment="1">
      <alignment vertical="center" wrapText="1"/>
    </xf>
    <xf numFmtId="0" fontId="18" fillId="0" borderId="2" xfId="0" applyNumberFormat="1" applyFont="1" applyFill="1" applyBorder="1" applyAlignment="1">
      <alignment horizontal="center" vertical="center" wrapText="1"/>
    </xf>
    <xf numFmtId="0" fontId="69" fillId="0" borderId="2" xfId="0" applyFont="1" applyFill="1" applyBorder="1" applyAlignment="1">
      <alignment vertical="center" wrapText="1"/>
    </xf>
    <xf numFmtId="0" fontId="70" fillId="0" borderId="2" xfId="0" applyFont="1" applyFill="1" applyBorder="1" applyAlignment="1">
      <alignment horizontal="right" vertical="center" wrapText="1"/>
    </xf>
    <xf numFmtId="0" fontId="70" fillId="0" borderId="2" xfId="0" applyFont="1" applyFill="1" applyBorder="1" applyAlignment="1">
      <alignment horizontal="center" vertical="center" wrapText="1"/>
    </xf>
    <xf numFmtId="166" fontId="70" fillId="0" borderId="2" xfId="2" applyNumberFormat="1" applyFont="1" applyFill="1" applyBorder="1" applyAlignment="1" applyProtection="1">
      <alignment horizontal="right" vertical="center" wrapText="1"/>
    </xf>
    <xf numFmtId="166" fontId="69" fillId="0" borderId="2" xfId="2" applyNumberFormat="1" applyFont="1" applyFill="1" applyBorder="1" applyAlignment="1" applyProtection="1">
      <alignment horizontal="right" vertical="center" wrapText="1"/>
    </xf>
    <xf numFmtId="0" fontId="70" fillId="0" borderId="2" xfId="0" applyFont="1" applyFill="1" applyBorder="1" applyAlignment="1">
      <alignment vertical="center" wrapText="1"/>
    </xf>
    <xf numFmtId="0" fontId="17" fillId="5" borderId="2" xfId="0" applyFont="1" applyFill="1" applyBorder="1" applyAlignment="1">
      <alignment vertical="center" wrapText="1"/>
    </xf>
    <xf numFmtId="164" fontId="18" fillId="0" borderId="2" xfId="3" applyNumberFormat="1" applyFont="1" applyBorder="1" applyAlignment="1" applyProtection="1"/>
    <xf numFmtId="179" fontId="18" fillId="0" borderId="2" xfId="1" applyNumberFormat="1" applyFont="1" applyBorder="1">
      <protection locked="0"/>
    </xf>
    <xf numFmtId="0" fontId="71" fillId="0" borderId="2" xfId="0" applyFont="1" applyBorder="1" applyAlignment="1"/>
    <xf numFmtId="166" fontId="71" fillId="0" borderId="2" xfId="2" applyNumberFormat="1" applyFont="1" applyBorder="1" applyAlignment="1" applyProtection="1"/>
    <xf numFmtId="10" fontId="19" fillId="6" borderId="2" xfId="0" applyNumberFormat="1" applyFont="1" applyFill="1" applyBorder="1" applyAlignment="1">
      <alignment horizontal="center"/>
    </xf>
    <xf numFmtId="0" fontId="72" fillId="0" borderId="2" xfId="0" applyFont="1" applyBorder="1" applyAlignment="1">
      <alignment horizontal="center" vertical="center" wrapText="1"/>
    </xf>
    <xf numFmtId="0" fontId="73" fillId="0" borderId="2" xfId="0" applyFont="1" applyBorder="1" applyAlignment="1">
      <alignment horizontal="justify" vertical="center" wrapText="1"/>
    </xf>
    <xf numFmtId="0" fontId="73" fillId="0" borderId="2" xfId="0" applyFont="1" applyBorder="1" applyAlignment="1">
      <alignment horizontal="right" vertical="center" wrapText="1"/>
    </xf>
    <xf numFmtId="2" fontId="17" fillId="0" borderId="0" xfId="0" applyNumberFormat="1" applyFont="1">
      <alignmen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61" fillId="3" borderId="2" xfId="0" applyFont="1" applyFill="1" applyBorder="1" applyAlignment="1">
      <alignment horizontal="left" vertical="center" wrapText="1"/>
    </xf>
    <xf numFmtId="0" fontId="61" fillId="4" borderId="2" xfId="0" applyFont="1" applyFill="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60" fillId="2" borderId="2" xfId="0" applyFont="1" applyFill="1" applyBorder="1" applyAlignment="1">
      <alignment horizontal="center" vertical="center" wrapText="1"/>
    </xf>
    <xf numFmtId="0" fontId="59" fillId="0" borderId="1" xfId="0" applyFont="1" applyBorder="1" applyAlignment="1">
      <alignment horizontal="center" vertical="center" wrapText="1"/>
    </xf>
    <xf numFmtId="0" fontId="18" fillId="0" borderId="2" xfId="0" applyFont="1" applyBorder="1" applyAlignment="1">
      <alignment horizontal="left" vertical="center" wrapText="1"/>
    </xf>
    <xf numFmtId="0" fontId="36"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0" borderId="2"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57" fillId="0" borderId="2" xfId="0" applyFont="1" applyFill="1" applyBorder="1" applyAlignment="1">
      <alignment horizontal="center" vertical="center" wrapText="1"/>
    </xf>
    <xf numFmtId="0" fontId="57" fillId="0" borderId="2" xfId="0" applyFont="1" applyBorder="1" applyAlignment="1">
      <alignment horizontal="center" vertical="center" wrapText="1"/>
    </xf>
    <xf numFmtId="0" fontId="16" fillId="0" borderId="0" xfId="0" applyFont="1" applyAlignment="1">
      <alignment horizontal="center"/>
    </xf>
    <xf numFmtId="0" fontId="55" fillId="9" borderId="10" xfId="0" applyFont="1" applyFill="1" applyBorder="1" applyAlignment="1">
      <alignment horizontal="center" vertical="center" wrapText="1"/>
    </xf>
    <xf numFmtId="0" fontId="55" fillId="9" borderId="1" xfId="0" applyFont="1" applyFill="1" applyBorder="1" applyAlignment="1">
      <alignment horizontal="center" vertical="center" wrapText="1"/>
    </xf>
    <xf numFmtId="0" fontId="16" fillId="0" borderId="0" xfId="0" applyFont="1" applyBorder="1" applyAlignment="1">
      <alignment horizontal="center"/>
    </xf>
    <xf numFmtId="0" fontId="20" fillId="0" borderId="0" xfId="0" applyFont="1" applyAlignment="1">
      <alignment horizontal="center"/>
    </xf>
    <xf numFmtId="0" fontId="58" fillId="0" borderId="0" xfId="0" applyFont="1" applyAlignment="1">
      <alignment horizontal="center" wrapText="1"/>
    </xf>
    <xf numFmtId="0" fontId="16" fillId="0" borderId="1"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32" fillId="0" borderId="0" xfId="0" applyFont="1" applyAlignment="1">
      <alignment horizontal="center" wrapText="1"/>
    </xf>
    <xf numFmtId="0" fontId="20" fillId="6" borderId="0" xfId="0" applyFont="1" applyFill="1" applyAlignment="1">
      <alignment horizontal="center"/>
    </xf>
    <xf numFmtId="0" fontId="21" fillId="0" borderId="0" xfId="4" applyFont="1" applyFill="1" applyBorder="1" applyAlignment="1" applyProtection="1">
      <alignment horizontal="center"/>
    </xf>
    <xf numFmtId="0" fontId="22" fillId="0" borderId="0" xfId="0" applyFont="1" applyAlignment="1">
      <alignment horizontal="center" vertical="center" wrapText="1"/>
    </xf>
    <xf numFmtId="0" fontId="22" fillId="0" borderId="0" xfId="4" applyFont="1" applyFill="1" applyBorder="1" applyAlignment="1" applyProtection="1">
      <alignment horizontal="center"/>
    </xf>
    <xf numFmtId="0" fontId="20" fillId="0" borderId="1" xfId="0" applyFont="1" applyBorder="1" applyAlignment="1">
      <alignment horizontal="center"/>
    </xf>
    <xf numFmtId="0" fontId="16" fillId="0" borderId="13" xfId="0" applyFont="1" applyBorder="1" applyAlignment="1">
      <alignment horizontal="center"/>
    </xf>
    <xf numFmtId="0" fontId="20" fillId="0" borderId="0" xfId="0" applyFont="1" applyAlignment="1">
      <alignment horizontal="center" wrapText="1"/>
    </xf>
    <xf numFmtId="0" fontId="19" fillId="8" borderId="2"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2" fillId="5" borderId="0" xfId="0" applyFont="1" applyFill="1" applyAlignment="1">
      <alignment horizontal="center"/>
    </xf>
    <xf numFmtId="0" fontId="22" fillId="5" borderId="1" xfId="0" applyFont="1" applyFill="1" applyBorder="1" applyAlignment="1">
      <alignment horizontal="center"/>
    </xf>
    <xf numFmtId="0" fontId="47" fillId="0" borderId="0" xfId="0" applyFont="1" applyAlignment="1">
      <alignment horizontal="center" wrapText="1"/>
    </xf>
    <xf numFmtId="0" fontId="16" fillId="0" borderId="14" xfId="0" applyFont="1" applyBorder="1" applyAlignment="1">
      <alignment horizontal="center"/>
    </xf>
    <xf numFmtId="0" fontId="45" fillId="0" borderId="0" xfId="0" applyFont="1" applyAlignment="1">
      <alignment horizontal="center" wrapText="1"/>
    </xf>
    <xf numFmtId="0" fontId="46" fillId="0" borderId="0" xfId="0" applyFont="1" applyAlignment="1">
      <alignment horizontal="center" wrapText="1"/>
    </xf>
    <xf numFmtId="0" fontId="29" fillId="0" borderId="2" xfId="0" applyFont="1" applyFill="1" applyBorder="1" applyAlignment="1">
      <alignment horizontal="center" wrapText="1"/>
    </xf>
    <xf numFmtId="0" fontId="36" fillId="0" borderId="0" xfId="0" applyFont="1" applyAlignment="1">
      <alignment horizontal="center"/>
    </xf>
    <xf numFmtId="0" fontId="24" fillId="0" borderId="0" xfId="0" applyFont="1" applyAlignment="1">
      <alignment horizontal="center"/>
    </xf>
    <xf numFmtId="0" fontId="32" fillId="0" borderId="0" xfId="0" applyFont="1" applyAlignment="1">
      <alignment horizontal="center"/>
    </xf>
    <xf numFmtId="3" fontId="28" fillId="0" borderId="2" xfId="0" applyNumberFormat="1" applyFont="1" applyBorder="1" applyAlignment="1">
      <alignment horizontal="center"/>
    </xf>
    <xf numFmtId="0" fontId="22" fillId="0" borderId="0" xfId="5" applyFont="1" applyAlignment="1" applyProtection="1">
      <alignment horizontal="center" wrapText="1"/>
    </xf>
    <xf numFmtId="3" fontId="28" fillId="0" borderId="0" xfId="0" applyNumberFormat="1" applyFont="1" applyBorder="1" applyAlignment="1">
      <alignment horizontal="center"/>
    </xf>
    <xf numFmtId="0" fontId="31" fillId="0" borderId="0" xfId="0" applyFont="1" applyAlignment="1">
      <alignment horizontal="center" wrapText="1"/>
    </xf>
    <xf numFmtId="1" fontId="18" fillId="0" borderId="2" xfId="1" applyNumberFormat="1" applyFont="1" applyBorder="1" applyAlignment="1" applyProtection="1">
      <alignment horizontal="center"/>
    </xf>
    <xf numFmtId="10" fontId="20" fillId="0" borderId="2" xfId="3" applyNumberFormat="1" applyFont="1" applyBorder="1" applyAlignment="1" applyProtection="1">
      <alignment horizontal="center"/>
    </xf>
    <xf numFmtId="0" fontId="37" fillId="0" borderId="0" xfId="0" applyFont="1" applyAlignment="1">
      <alignment horizontal="center" wrapText="1"/>
    </xf>
    <xf numFmtId="0" fontId="24" fillId="0" borderId="10" xfId="0" applyFont="1" applyFill="1" applyBorder="1" applyAlignment="1">
      <alignment horizontal="center"/>
    </xf>
    <xf numFmtId="0" fontId="24" fillId="0" borderId="1" xfId="0" applyFont="1" applyFill="1" applyBorder="1" applyAlignment="1">
      <alignment horizontal="center"/>
    </xf>
    <xf numFmtId="0" fontId="22" fillId="0" borderId="3" xfId="0" applyFont="1" applyFill="1" applyBorder="1" applyAlignment="1">
      <alignment horizontal="center"/>
    </xf>
    <xf numFmtId="0" fontId="22" fillId="0" borderId="4" xfId="0" applyFont="1" applyFill="1" applyBorder="1" applyAlignment="1">
      <alignment horizontal="center"/>
    </xf>
    <xf numFmtId="0" fontId="22" fillId="0" borderId="5" xfId="0" applyFont="1" applyFill="1" applyBorder="1" applyAlignment="1">
      <alignment horizontal="center"/>
    </xf>
    <xf numFmtId="0" fontId="16" fillId="0" borderId="1" xfId="0" applyFont="1" applyBorder="1" applyAlignment="1">
      <alignment horizontal="center"/>
    </xf>
    <xf numFmtId="0" fontId="23" fillId="9" borderId="7" xfId="0" applyFont="1" applyFill="1" applyBorder="1" applyAlignment="1">
      <alignment horizontal="left" vertical="center"/>
    </xf>
    <xf numFmtId="0" fontId="23" fillId="9" borderId="8" xfId="0" applyFont="1" applyFill="1" applyBorder="1" applyAlignment="1">
      <alignment horizontal="left"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9" fillId="9" borderId="7" xfId="0" applyFont="1" applyFill="1" applyBorder="1">
      <alignment vertical="center"/>
    </xf>
    <xf numFmtId="0" fontId="19" fillId="9" borderId="8" xfId="0" applyFont="1" applyFill="1" applyBorder="1">
      <alignment vertical="center"/>
    </xf>
    <xf numFmtId="0" fontId="19" fillId="9" borderId="7" xfId="0" applyFont="1" applyFill="1" applyBorder="1" applyAlignment="1">
      <alignment horizontal="left" vertical="center"/>
    </xf>
    <xf numFmtId="0" fontId="19" fillId="9" borderId="8" xfId="0" applyFont="1" applyFill="1" applyBorder="1" applyAlignment="1">
      <alignment horizontal="left" vertical="center"/>
    </xf>
    <xf numFmtId="0" fontId="18" fillId="0" borderId="0" xfId="0" applyFont="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21" fillId="0" borderId="3" xfId="0" applyFont="1" applyFill="1" applyBorder="1" applyAlignment="1">
      <alignment horizontal="center"/>
    </xf>
    <xf numFmtId="0" fontId="21" fillId="0" borderId="4" xfId="0" applyFont="1" applyFill="1" applyBorder="1" applyAlignment="1">
      <alignment horizontal="center"/>
    </xf>
    <xf numFmtId="0" fontId="21" fillId="0" borderId="5" xfId="0" applyFont="1" applyFill="1" applyBorder="1" applyAlignment="1">
      <alignment horizontal="center"/>
    </xf>
    <xf numFmtId="0" fontId="2" fillId="0" borderId="2" xfId="0" applyFont="1" applyBorder="1" applyAlignment="1">
      <alignment horizontal="center" vertical="center" wrapText="1"/>
    </xf>
    <xf numFmtId="0" fontId="9" fillId="9" borderId="7" xfId="0" applyFont="1" applyFill="1" applyBorder="1" applyAlignment="1">
      <alignment horizontal="left" vertical="center"/>
    </xf>
    <xf numFmtId="0" fontId="9" fillId="9" borderId="8" xfId="0" applyFont="1" applyFill="1" applyBorder="1" applyAlignment="1">
      <alignment horizontal="left" vertical="center"/>
    </xf>
    <xf numFmtId="0" fontId="3" fillId="0" borderId="0" xfId="0" applyFont="1" applyAlignment="1">
      <alignment horizont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3" fillId="0" borderId="1" xfId="0" applyFont="1" applyBorder="1" applyAlignment="1">
      <alignment horizontal="center"/>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10" fillId="9" borderId="7" xfId="0" applyFont="1" applyFill="1" applyBorder="1" applyAlignment="1">
      <alignment horizontal="left" vertical="center"/>
    </xf>
    <xf numFmtId="0" fontId="10" fillId="9" borderId="8" xfId="0" applyFont="1" applyFill="1" applyBorder="1" applyAlignment="1">
      <alignment horizontal="left"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0" xfId="0" applyFont="1" applyAlignment="1">
      <alignment horizontal="center"/>
    </xf>
    <xf numFmtId="0" fontId="9" fillId="9" borderId="7" xfId="0" applyFont="1" applyFill="1" applyBorder="1">
      <alignment vertical="center"/>
    </xf>
    <xf numFmtId="0" fontId="9" fillId="9" borderId="8" xfId="0" applyFont="1" applyFill="1" applyBorder="1">
      <alignment vertical="center"/>
    </xf>
    <xf numFmtId="0" fontId="2" fillId="0" borderId="0" xfId="0" applyFont="1" applyAlignment="1">
      <alignment horizontal="center"/>
    </xf>
    <xf numFmtId="0" fontId="3" fillId="0" borderId="0" xfId="0" applyFont="1" applyFill="1" applyBorder="1" applyAlignment="1">
      <alignment horizontal="center"/>
    </xf>
    <xf numFmtId="0" fontId="14" fillId="0" borderId="0" xfId="0" applyFont="1" applyAlignment="1">
      <alignment horizontal="center"/>
    </xf>
    <xf numFmtId="0" fontId="73" fillId="0" borderId="2" xfId="0" applyFont="1" applyBorder="1" applyAlignment="1">
      <alignment horizontal="center" vertical="center"/>
    </xf>
    <xf numFmtId="0" fontId="72" fillId="0" borderId="2" xfId="0" applyFont="1" applyBorder="1" applyAlignment="1">
      <alignment horizontal="center" vertical="center" wrapText="1"/>
    </xf>
  </cellXfs>
  <cellStyles count="8">
    <cellStyle name="Comma" xfId="1" builtinId="3"/>
    <cellStyle name="Comma 2" xfId="2"/>
    <cellStyle name="Comma 2 2" xfId="7"/>
    <cellStyle name="Currency 3" xfId="6"/>
    <cellStyle name="Hyperlink" xfId="5"/>
    <cellStyle name="Normal" xfId="0" builtinId="0"/>
    <cellStyle name="Normal 3" xfId="4"/>
    <cellStyle name="Percent" xfId="3" builtinId="5"/>
  </cellStyles>
  <dxfs count="4">
    <dxf>
      <font>
        <sz val="11"/>
        <color rgb="FFFF0000"/>
      </font>
    </dxf>
    <dxf>
      <font>
        <sz val="11"/>
        <color rgb="FFFF0000"/>
      </font>
    </dxf>
    <dxf>
      <font>
        <sz val="11"/>
        <color rgb="FFFF0000"/>
      </font>
    </dxf>
    <dxf>
      <font>
        <sz val="11"/>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5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topLeftCell="A18" zoomScale="60" zoomScaleNormal="80" workbookViewId="0">
      <selection activeCell="A27" sqref="A27"/>
    </sheetView>
  </sheetViews>
  <sheetFormatPr defaultColWidth="9.28515625" defaultRowHeight="15" x14ac:dyDescent="0.25"/>
  <cols>
    <col min="1" max="1" width="12.7109375" style="412" customWidth="1"/>
    <col min="2" max="2" width="56" style="412" customWidth="1"/>
    <col min="3" max="3" width="26.28515625" style="412" customWidth="1"/>
    <col min="4" max="4" width="20.7109375" style="412" customWidth="1"/>
    <col min="5" max="5" width="29.42578125" style="412" customWidth="1"/>
    <col min="6" max="16384" width="9.28515625" style="412"/>
  </cols>
  <sheetData>
    <row r="1" spans="1:5" ht="26.25" customHeight="1" x14ac:dyDescent="0.25">
      <c r="A1" s="468" t="s">
        <v>640</v>
      </c>
      <c r="B1" s="468"/>
      <c r="C1" s="468"/>
      <c r="D1" s="468"/>
      <c r="E1" s="468"/>
    </row>
    <row r="2" spans="1:5" ht="26.25" customHeight="1" x14ac:dyDescent="0.25">
      <c r="A2" s="467" t="s">
        <v>636</v>
      </c>
      <c r="B2" s="467"/>
      <c r="C2" s="467"/>
      <c r="D2" s="467"/>
      <c r="E2" s="467"/>
    </row>
    <row r="3" spans="1:5" ht="23.25" customHeight="1" x14ac:dyDescent="0.25">
      <c r="A3" s="462" t="s">
        <v>608</v>
      </c>
      <c r="B3" s="462"/>
      <c r="C3" s="462"/>
      <c r="D3" s="462"/>
      <c r="E3" s="462"/>
    </row>
    <row r="4" spans="1:5" ht="240.75" customHeight="1" x14ac:dyDescent="0.25">
      <c r="A4" s="469" t="s">
        <v>693</v>
      </c>
      <c r="B4" s="469"/>
      <c r="C4" s="469"/>
      <c r="D4" s="469"/>
      <c r="E4" s="469"/>
    </row>
    <row r="5" spans="1:5" ht="23.25" customHeight="1" x14ac:dyDescent="0.25">
      <c r="A5" s="462" t="s">
        <v>609</v>
      </c>
      <c r="B5" s="462"/>
      <c r="C5" s="462"/>
      <c r="D5" s="462"/>
      <c r="E5" s="462"/>
    </row>
    <row r="6" spans="1:5" ht="108" customHeight="1" x14ac:dyDescent="0.25">
      <c r="A6" s="464" t="s">
        <v>694</v>
      </c>
      <c r="B6" s="465"/>
      <c r="C6" s="465"/>
      <c r="D6" s="465"/>
      <c r="E6" s="466"/>
    </row>
    <row r="7" spans="1:5" ht="23.25" customHeight="1" x14ac:dyDescent="0.25">
      <c r="A7" s="463" t="s">
        <v>641</v>
      </c>
      <c r="B7" s="463"/>
      <c r="C7" s="463"/>
      <c r="D7" s="463"/>
      <c r="E7" s="463"/>
    </row>
    <row r="8" spans="1:5" ht="125.25" customHeight="1" x14ac:dyDescent="0.25">
      <c r="A8" s="469" t="s">
        <v>677</v>
      </c>
      <c r="B8" s="469"/>
      <c r="C8" s="469"/>
      <c r="D8" s="469"/>
      <c r="E8" s="469"/>
    </row>
    <row r="9" spans="1:5" ht="23.25" x14ac:dyDescent="0.25">
      <c r="A9" s="462" t="s">
        <v>633</v>
      </c>
      <c r="B9" s="462"/>
      <c r="C9" s="462"/>
      <c r="D9" s="462"/>
      <c r="E9" s="462"/>
    </row>
    <row r="10" spans="1:5" x14ac:dyDescent="0.25">
      <c r="A10" s="412" t="s">
        <v>610</v>
      </c>
      <c r="B10" s="412" t="s">
        <v>149</v>
      </c>
    </row>
    <row r="11" spans="1:5" ht="20.25" customHeight="1" x14ac:dyDescent="0.25">
      <c r="A11" s="413"/>
      <c r="B11" s="459" t="s">
        <v>396</v>
      </c>
      <c r="C11" s="460"/>
      <c r="D11" s="460"/>
      <c r="E11" s="461"/>
    </row>
    <row r="12" spans="1:5" x14ac:dyDescent="0.25">
      <c r="A12" s="414"/>
      <c r="B12" s="473" t="s">
        <v>397</v>
      </c>
      <c r="C12" s="473"/>
      <c r="D12" s="473"/>
      <c r="E12" s="473"/>
    </row>
    <row r="13" spans="1:5" s="415" customFormat="1" x14ac:dyDescent="0.25">
      <c r="A13" s="471"/>
      <c r="B13" s="471"/>
      <c r="C13" s="471"/>
      <c r="D13" s="471"/>
      <c r="E13" s="472"/>
    </row>
    <row r="14" spans="1:5" ht="23.25" x14ac:dyDescent="0.25">
      <c r="A14" s="462" t="s">
        <v>634</v>
      </c>
      <c r="B14" s="462"/>
      <c r="C14" s="462"/>
      <c r="D14" s="462"/>
      <c r="E14" s="462"/>
    </row>
    <row r="15" spans="1:5" x14ac:dyDescent="0.25">
      <c r="A15" s="416" t="s">
        <v>606</v>
      </c>
      <c r="B15" s="416" t="s">
        <v>642</v>
      </c>
      <c r="C15" s="416" t="s">
        <v>443</v>
      </c>
      <c r="D15" s="416" t="s">
        <v>614</v>
      </c>
      <c r="E15" s="416" t="s">
        <v>607</v>
      </c>
    </row>
    <row r="16" spans="1:5" x14ac:dyDescent="0.25">
      <c r="A16" s="417" t="s">
        <v>172</v>
      </c>
      <c r="B16" s="417" t="s">
        <v>643</v>
      </c>
      <c r="C16" s="417"/>
      <c r="D16" s="417"/>
      <c r="E16" s="417"/>
    </row>
    <row r="17" spans="1:5" ht="60" x14ac:dyDescent="0.25">
      <c r="A17" s="418" t="s">
        <v>624</v>
      </c>
      <c r="B17" s="411" t="s">
        <v>631</v>
      </c>
      <c r="C17" s="411" t="s">
        <v>674</v>
      </c>
      <c r="D17" s="411" t="s">
        <v>644</v>
      </c>
      <c r="E17" s="411"/>
    </row>
    <row r="18" spans="1:5" ht="75" x14ac:dyDescent="0.25">
      <c r="A18" s="418" t="s">
        <v>625</v>
      </c>
      <c r="B18" s="411" t="s">
        <v>611</v>
      </c>
      <c r="C18" s="411" t="s">
        <v>675</v>
      </c>
      <c r="D18" s="411" t="s">
        <v>645</v>
      </c>
      <c r="E18" s="411"/>
    </row>
    <row r="19" spans="1:5" ht="26.25" customHeight="1" x14ac:dyDescent="0.25">
      <c r="A19" s="418" t="s">
        <v>626</v>
      </c>
      <c r="B19" s="419" t="s">
        <v>637</v>
      </c>
      <c r="C19" s="411" t="s">
        <v>646</v>
      </c>
      <c r="D19" s="411" t="s">
        <v>647</v>
      </c>
      <c r="E19" s="411" t="s">
        <v>635</v>
      </c>
    </row>
    <row r="20" spans="1:5" x14ac:dyDescent="0.25">
      <c r="A20" s="418" t="s">
        <v>627</v>
      </c>
      <c r="B20" s="411" t="s">
        <v>676</v>
      </c>
      <c r="C20" s="411"/>
      <c r="D20" s="411"/>
      <c r="E20" s="411"/>
    </row>
    <row r="21" spans="1:5" x14ac:dyDescent="0.25">
      <c r="A21" s="411">
        <v>4.0999999999999996</v>
      </c>
      <c r="B21" s="411" t="s">
        <v>618</v>
      </c>
      <c r="C21" s="474" t="s">
        <v>648</v>
      </c>
      <c r="D21" s="411" t="s">
        <v>649</v>
      </c>
      <c r="E21" s="411"/>
    </row>
    <row r="22" spans="1:5" x14ac:dyDescent="0.25">
      <c r="A22" s="411">
        <v>4.2</v>
      </c>
      <c r="B22" s="411" t="s">
        <v>622</v>
      </c>
      <c r="C22" s="475"/>
      <c r="D22" s="411" t="s">
        <v>650</v>
      </c>
      <c r="E22" s="411"/>
    </row>
    <row r="23" spans="1:5" x14ac:dyDescent="0.25">
      <c r="A23" s="411">
        <v>4.3</v>
      </c>
      <c r="B23" s="411" t="s">
        <v>619</v>
      </c>
      <c r="C23" s="475"/>
      <c r="D23" s="411" t="s">
        <v>651</v>
      </c>
      <c r="E23" s="411"/>
    </row>
    <row r="24" spans="1:5" x14ac:dyDescent="0.25">
      <c r="A24" s="411">
        <v>4.4000000000000004</v>
      </c>
      <c r="B24" s="411" t="s">
        <v>620</v>
      </c>
      <c r="C24" s="475"/>
      <c r="D24" s="411" t="s">
        <v>652</v>
      </c>
      <c r="E24" s="411"/>
    </row>
    <row r="25" spans="1:5" x14ac:dyDescent="0.25">
      <c r="A25" s="411">
        <v>4.5</v>
      </c>
      <c r="B25" s="411" t="s">
        <v>621</v>
      </c>
      <c r="C25" s="475"/>
      <c r="D25" s="411" t="s">
        <v>653</v>
      </c>
      <c r="E25" s="411"/>
    </row>
    <row r="26" spans="1:5" x14ac:dyDescent="0.25">
      <c r="A26" s="411">
        <v>4.5999999999999996</v>
      </c>
      <c r="B26" s="411" t="s">
        <v>623</v>
      </c>
      <c r="C26" s="476"/>
      <c r="D26" s="411" t="s">
        <v>654</v>
      </c>
      <c r="E26" s="411"/>
    </row>
    <row r="27" spans="1:5" ht="45" x14ac:dyDescent="0.25">
      <c r="A27" s="418" t="s">
        <v>628</v>
      </c>
      <c r="B27" s="411" t="s">
        <v>612</v>
      </c>
      <c r="C27" s="411" t="s">
        <v>655</v>
      </c>
      <c r="D27" s="411" t="s">
        <v>679</v>
      </c>
      <c r="E27" s="411"/>
    </row>
    <row r="28" spans="1:5" ht="45" x14ac:dyDescent="0.25">
      <c r="A28" s="418" t="s">
        <v>629</v>
      </c>
      <c r="B28" s="411" t="s">
        <v>656</v>
      </c>
      <c r="C28" s="411" t="s">
        <v>657</v>
      </c>
      <c r="D28" s="411" t="s">
        <v>658</v>
      </c>
      <c r="E28" s="411"/>
    </row>
    <row r="29" spans="1:5" ht="30" x14ac:dyDescent="0.25">
      <c r="A29" s="418" t="s">
        <v>630</v>
      </c>
      <c r="B29" s="411" t="s">
        <v>613</v>
      </c>
      <c r="C29" s="411" t="s">
        <v>659</v>
      </c>
      <c r="D29" s="411" t="s">
        <v>660</v>
      </c>
      <c r="E29" s="411"/>
    </row>
    <row r="30" spans="1:5" x14ac:dyDescent="0.25">
      <c r="A30" s="417" t="s">
        <v>173</v>
      </c>
      <c r="B30" s="420" t="s">
        <v>661</v>
      </c>
      <c r="C30" s="417"/>
      <c r="D30" s="417"/>
      <c r="E30" s="417"/>
    </row>
    <row r="31" spans="1:5" ht="26.25" customHeight="1" x14ac:dyDescent="0.25">
      <c r="A31" s="308" t="s">
        <v>662</v>
      </c>
      <c r="B31" s="411" t="s">
        <v>615</v>
      </c>
      <c r="C31" s="411"/>
      <c r="D31" s="411" t="s">
        <v>663</v>
      </c>
      <c r="E31" s="411" t="s">
        <v>635</v>
      </c>
    </row>
    <row r="32" spans="1:5" x14ac:dyDescent="0.25">
      <c r="A32" s="308" t="s">
        <v>664</v>
      </c>
      <c r="B32" s="411" t="s">
        <v>616</v>
      </c>
      <c r="C32" s="411"/>
      <c r="D32" s="411" t="s">
        <v>665</v>
      </c>
      <c r="E32" s="411" t="s">
        <v>635</v>
      </c>
    </row>
    <row r="33" spans="1:5" x14ac:dyDescent="0.25">
      <c r="A33" s="308" t="s">
        <v>666</v>
      </c>
      <c r="B33" s="411" t="s">
        <v>617</v>
      </c>
      <c r="C33" s="411"/>
      <c r="D33" s="411" t="s">
        <v>667</v>
      </c>
      <c r="E33" s="411" t="s">
        <v>635</v>
      </c>
    </row>
    <row r="34" spans="1:5" ht="35.25" customHeight="1" x14ac:dyDescent="0.25">
      <c r="A34" s="308" t="s">
        <v>668</v>
      </c>
      <c r="B34" s="411" t="s">
        <v>632</v>
      </c>
      <c r="C34" s="411"/>
      <c r="D34" s="411" t="s">
        <v>669</v>
      </c>
      <c r="E34" s="411" t="s">
        <v>635</v>
      </c>
    </row>
    <row r="35" spans="1:5" ht="35.25" customHeight="1" x14ac:dyDescent="0.25">
      <c r="A35" s="308" t="s">
        <v>670</v>
      </c>
      <c r="B35" s="411" t="s">
        <v>671</v>
      </c>
      <c r="C35" s="411"/>
      <c r="D35" s="411" t="s">
        <v>678</v>
      </c>
      <c r="E35" s="411" t="s">
        <v>635</v>
      </c>
    </row>
    <row r="36" spans="1:5" x14ac:dyDescent="0.25">
      <c r="A36" s="418" t="s">
        <v>672</v>
      </c>
      <c r="B36" s="411" t="s">
        <v>673</v>
      </c>
      <c r="C36" s="411"/>
      <c r="D36" s="411"/>
      <c r="E36" s="411"/>
    </row>
    <row r="37" spans="1:5" ht="21" x14ac:dyDescent="0.25">
      <c r="A37" s="470"/>
      <c r="B37" s="470"/>
      <c r="C37" s="470"/>
      <c r="D37" s="470"/>
      <c r="E37" s="470"/>
    </row>
  </sheetData>
  <mergeCells count="15">
    <mergeCell ref="A37:E37"/>
    <mergeCell ref="A13:E13"/>
    <mergeCell ref="B12:E12"/>
    <mergeCell ref="A14:E14"/>
    <mergeCell ref="C21:C26"/>
    <mergeCell ref="A2:E2"/>
    <mergeCell ref="A1:E1"/>
    <mergeCell ref="A9:E9"/>
    <mergeCell ref="A4:E4"/>
    <mergeCell ref="A8:E8"/>
    <mergeCell ref="B11:E11"/>
    <mergeCell ref="A3:E3"/>
    <mergeCell ref="A5:E5"/>
    <mergeCell ref="A7:E7"/>
    <mergeCell ref="A6:E6"/>
  </mergeCell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65" zoomScale="70" zoomScaleNormal="80" zoomScaleSheetLayoutView="70" workbookViewId="0">
      <selection activeCell="G188" sqref="G188"/>
    </sheetView>
  </sheetViews>
  <sheetFormatPr defaultColWidth="10" defaultRowHeight="15" x14ac:dyDescent="0.25"/>
  <cols>
    <col min="1" max="1" width="10" style="104"/>
    <col min="2" max="2" width="32.7109375" style="104" customWidth="1"/>
    <col min="3" max="3" width="18.7109375" style="104" bestFit="1" customWidth="1"/>
    <col min="4" max="5" width="16.42578125" style="104" bestFit="1" customWidth="1"/>
    <col min="6" max="6" width="16.5703125" style="104" customWidth="1"/>
    <col min="7" max="9" width="15.7109375" style="104" customWidth="1"/>
    <col min="10" max="10" width="14.7109375" style="104" customWidth="1"/>
    <col min="11" max="11" width="14.42578125" style="104" customWidth="1"/>
    <col min="12" max="12" width="14.7109375" style="104" customWidth="1"/>
    <col min="13" max="18" width="11.7109375" style="104" customWidth="1"/>
    <col min="19" max="19" width="4.5703125" style="104" customWidth="1"/>
    <col min="20" max="16384" width="10" style="104"/>
  </cols>
  <sheetData>
    <row r="5" spans="2:12" ht="18.75" x14ac:dyDescent="0.3">
      <c r="B5" s="513" t="s">
        <v>560</v>
      </c>
      <c r="C5" s="513"/>
      <c r="D5" s="513"/>
      <c r="E5" s="513"/>
      <c r="F5" s="513"/>
      <c r="G5" s="513"/>
      <c r="H5" s="513"/>
      <c r="I5" s="513"/>
      <c r="J5" s="513"/>
    </row>
    <row r="6" spans="2:12" ht="16.5" x14ac:dyDescent="0.25">
      <c r="B6" s="190"/>
      <c r="C6" s="190"/>
      <c r="D6" s="190"/>
      <c r="E6" s="190"/>
      <c r="F6" s="190"/>
      <c r="G6" s="190"/>
      <c r="H6" s="190"/>
      <c r="I6" s="190"/>
      <c r="J6" s="190"/>
    </row>
    <row r="7" spans="2:12" ht="15.75" x14ac:dyDescent="0.25">
      <c r="B7" s="191" t="s">
        <v>29</v>
      </c>
      <c r="C7" s="192" t="s">
        <v>329</v>
      </c>
      <c r="D7" s="192" t="s">
        <v>2</v>
      </c>
      <c r="E7" s="192" t="s">
        <v>3</v>
      </c>
      <c r="F7" s="192" t="s">
        <v>4</v>
      </c>
      <c r="G7" s="192" t="s">
        <v>5</v>
      </c>
      <c r="H7" s="192" t="s">
        <v>6</v>
      </c>
      <c r="I7" s="192" t="s">
        <v>168</v>
      </c>
      <c r="J7" s="192" t="s">
        <v>167</v>
      </c>
      <c r="L7" s="193"/>
    </row>
    <row r="8" spans="2:12" x14ac:dyDescent="0.25">
      <c r="B8" s="194"/>
      <c r="C8" s="194"/>
      <c r="D8" s="194"/>
      <c r="E8" s="194"/>
      <c r="F8" s="194"/>
      <c r="G8" s="194"/>
      <c r="H8" s="194"/>
      <c r="I8" s="194"/>
      <c r="J8" s="194"/>
    </row>
    <row r="9" spans="2:12" x14ac:dyDescent="0.25">
      <c r="B9" s="194" t="s">
        <v>30</v>
      </c>
      <c r="C9" s="194"/>
      <c r="D9" s="195">
        <f>'6.Cons Profit &amp; Loss'!B51</f>
        <v>3613485.513620764</v>
      </c>
      <c r="E9" s="195">
        <f>'6.Cons Profit &amp; Loss'!C51</f>
        <v>4201993.468800839</v>
      </c>
      <c r="F9" s="195">
        <f>'6.Cons Profit &amp; Loss'!D51</f>
        <v>5306634.3529657302</v>
      </c>
      <c r="G9" s="195">
        <f>'6.Cons Profit &amp; Loss'!E51</f>
        <v>6550864.6225516358</v>
      </c>
      <c r="H9" s="195">
        <f>'6.Cons Profit &amp; Loss'!F51</f>
        <v>7740478.802994689</v>
      </c>
      <c r="I9" s="195">
        <f>'6.Cons Profit &amp; Loss'!G51</f>
        <v>8732608.341690436</v>
      </c>
      <c r="J9" s="195">
        <f>'6.Cons Profit &amp; Loss'!H51</f>
        <v>9817083.3328272104</v>
      </c>
    </row>
    <row r="10" spans="2:12" x14ac:dyDescent="0.25">
      <c r="B10" s="194"/>
      <c r="C10" s="194"/>
      <c r="D10" s="195"/>
      <c r="E10" s="195"/>
      <c r="F10" s="195"/>
      <c r="G10" s="195"/>
      <c r="H10" s="195"/>
      <c r="I10" s="195"/>
      <c r="J10" s="195"/>
    </row>
    <row r="11" spans="2:12" x14ac:dyDescent="0.25">
      <c r="B11" s="196" t="s">
        <v>692</v>
      </c>
      <c r="C11" s="196"/>
      <c r="D11" s="195">
        <f>'6.Cons Profit &amp; Loss'!B42</f>
        <v>1522876.6802509998</v>
      </c>
      <c r="E11" s="195">
        <f>'6.Cons Profit &amp; Loss'!C42</f>
        <v>1522876.6802509998</v>
      </c>
      <c r="F11" s="195">
        <f>'6.Cons Profit &amp; Loss'!D42</f>
        <v>1522876.6802509998</v>
      </c>
      <c r="G11" s="195">
        <f>'6.Cons Profit &amp; Loss'!E42</f>
        <v>1522876.6802509998</v>
      </c>
      <c r="H11" s="195">
        <f>'6.Cons Profit &amp; Loss'!F42</f>
        <v>1522876.6802509998</v>
      </c>
      <c r="I11" s="195">
        <f>'6.Cons Profit &amp; Loss'!G42</f>
        <v>1522876.6802509998</v>
      </c>
      <c r="J11" s="195">
        <f>'6.Cons Profit &amp; Loss'!H42</f>
        <v>1522876.6802509998</v>
      </c>
    </row>
    <row r="12" spans="2:12" x14ac:dyDescent="0.25">
      <c r="B12" s="194" t="s">
        <v>35</v>
      </c>
      <c r="C12" s="194"/>
      <c r="D12" s="195">
        <f>'6.Cons Profit &amp; Loss'!B43</f>
        <v>0</v>
      </c>
      <c r="E12" s="195">
        <f>'6.Cons Profit &amp; Loss'!C43</f>
        <v>0</v>
      </c>
      <c r="F12" s="195">
        <f>'6.Cons Profit &amp; Loss'!D43</f>
        <v>0</v>
      </c>
      <c r="G12" s="195">
        <f>'6.Cons Profit &amp; Loss'!E43</f>
        <v>0</v>
      </c>
      <c r="H12" s="195">
        <f>'6.Cons Profit &amp; Loss'!F43</f>
        <v>0</v>
      </c>
      <c r="I12" s="195">
        <f>'6.Cons Profit &amp; Loss'!G43</f>
        <v>0</v>
      </c>
      <c r="J12" s="195">
        <f>'6.Cons Profit &amp; Loss'!H43</f>
        <v>0</v>
      </c>
    </row>
    <row r="13" spans="2:12" x14ac:dyDescent="0.25">
      <c r="B13" s="194"/>
      <c r="C13" s="194"/>
      <c r="D13" s="195"/>
      <c r="E13" s="195"/>
      <c r="F13" s="195"/>
      <c r="G13" s="195"/>
      <c r="H13" s="195"/>
      <c r="I13" s="195"/>
      <c r="J13" s="195"/>
    </row>
    <row r="14" spans="2:12" x14ac:dyDescent="0.25">
      <c r="B14" s="194" t="s">
        <v>31</v>
      </c>
      <c r="C14" s="194"/>
      <c r="D14" s="195">
        <f>SUM(D9:D12)</f>
        <v>5136362.1938717635</v>
      </c>
      <c r="E14" s="195">
        <f t="shared" ref="E14:J14" si="0">SUM(E9:E12)</f>
        <v>5724870.1490518386</v>
      </c>
      <c r="F14" s="195">
        <f t="shared" si="0"/>
        <v>6829511.0332167298</v>
      </c>
      <c r="G14" s="195">
        <f t="shared" si="0"/>
        <v>8073741.3028026354</v>
      </c>
      <c r="H14" s="195">
        <f t="shared" si="0"/>
        <v>9263355.4832456894</v>
      </c>
      <c r="I14" s="195">
        <f t="shared" si="0"/>
        <v>10255485.021941436</v>
      </c>
      <c r="J14" s="195">
        <f t="shared" si="0"/>
        <v>11339960.013078211</v>
      </c>
    </row>
    <row r="15" spans="2:12" x14ac:dyDescent="0.25">
      <c r="B15" s="194" t="s">
        <v>338</v>
      </c>
      <c r="C15" s="424">
        <f>-'1.Project Cost and MOF'!D12</f>
        <v>-35340688.469999999</v>
      </c>
      <c r="D15" s="195">
        <f>D14</f>
        <v>5136362.1938717635</v>
      </c>
      <c r="E15" s="195">
        <f t="shared" ref="E15:J15" si="1">E14</f>
        <v>5724870.1490518386</v>
      </c>
      <c r="F15" s="195">
        <f t="shared" si="1"/>
        <v>6829511.0332167298</v>
      </c>
      <c r="G15" s="195">
        <f t="shared" si="1"/>
        <v>8073741.3028026354</v>
      </c>
      <c r="H15" s="195">
        <f t="shared" si="1"/>
        <v>9263355.4832456894</v>
      </c>
      <c r="I15" s="195">
        <f t="shared" si="1"/>
        <v>10255485.021941436</v>
      </c>
      <c r="J15" s="195">
        <f t="shared" si="1"/>
        <v>11339960.013078211</v>
      </c>
    </row>
    <row r="16" spans="2:12" x14ac:dyDescent="0.25">
      <c r="B16" s="194" t="s">
        <v>273</v>
      </c>
      <c r="C16" s="197">
        <f>IRR(C15:J15)</f>
        <v>0.11520228755949713</v>
      </c>
      <c r="D16" s="198"/>
      <c r="E16" s="198"/>
      <c r="F16" s="198"/>
      <c r="G16" s="198"/>
      <c r="H16" s="198"/>
      <c r="I16" s="198"/>
      <c r="J16" s="198"/>
    </row>
    <row r="17" spans="2:19" x14ac:dyDescent="0.25">
      <c r="B17" s="194"/>
      <c r="C17" s="194"/>
      <c r="D17" s="194"/>
      <c r="E17" s="194"/>
      <c r="F17" s="194"/>
      <c r="G17" s="194"/>
      <c r="H17" s="194"/>
      <c r="I17" s="194"/>
      <c r="J17" s="194"/>
    </row>
    <row r="18" spans="2:19" x14ac:dyDescent="0.25">
      <c r="B18" s="199" t="s">
        <v>399</v>
      </c>
      <c r="C18" s="199"/>
      <c r="D18" s="200">
        <f>1/(1+$C$16)</f>
        <v>0.89669830411520657</v>
      </c>
      <c r="E18" s="200">
        <f t="shared" ref="E18:J18" si="2">D18/(1+$C$16)</f>
        <v>0.80406784860308744</v>
      </c>
      <c r="F18" s="200">
        <f t="shared" si="2"/>
        <v>0.72100627623595115</v>
      </c>
      <c r="G18" s="200">
        <f t="shared" si="2"/>
        <v>0.64652510515719752</v>
      </c>
      <c r="H18" s="200">
        <f t="shared" si="2"/>
        <v>0.57973796536236466</v>
      </c>
      <c r="I18" s="200">
        <f t="shared" si="2"/>
        <v>0.51985005037163279</v>
      </c>
      <c r="J18" s="200">
        <f t="shared" si="2"/>
        <v>0.4661486585624478</v>
      </c>
      <c r="L18" s="201"/>
      <c r="M18" s="201"/>
      <c r="N18" s="201"/>
      <c r="O18" s="201"/>
      <c r="P18" s="201"/>
      <c r="Q18" s="201"/>
      <c r="R18" s="201"/>
      <c r="S18" s="201"/>
    </row>
    <row r="19" spans="2:19" x14ac:dyDescent="0.25">
      <c r="B19" s="194" t="s">
        <v>32</v>
      </c>
      <c r="C19" s="194"/>
      <c r="D19" s="195">
        <f t="shared" ref="D19:J19" si="3">D14*D18</f>
        <v>4605767.2685662722</v>
      </c>
      <c r="E19" s="195">
        <f t="shared" si="3"/>
        <v>4603184.0242801486</v>
      </c>
      <c r="F19" s="195">
        <f t="shared" si="3"/>
        <v>4924120.3185719373</v>
      </c>
      <c r="G19" s="195">
        <f t="shared" si="3"/>
        <v>5219876.4448064826</v>
      </c>
      <c r="H19" s="195">
        <f t="shared" si="3"/>
        <v>5370318.8602851601</v>
      </c>
      <c r="I19" s="195">
        <f t="shared" si="3"/>
        <v>5331314.4052417809</v>
      </c>
      <c r="J19" s="195">
        <f t="shared" si="3"/>
        <v>5286107.1482482059</v>
      </c>
      <c r="L19" s="122"/>
    </row>
    <row r="20" spans="2:19" x14ac:dyDescent="0.25">
      <c r="B20" s="194" t="s">
        <v>33</v>
      </c>
      <c r="C20" s="194"/>
      <c r="D20" s="515">
        <f>SUM(D19:J19)</f>
        <v>35340688.469999984</v>
      </c>
      <c r="E20" s="515"/>
      <c r="F20" s="515"/>
      <c r="G20" s="515"/>
      <c r="H20" s="515"/>
      <c r="I20" s="515"/>
      <c r="J20" s="515"/>
      <c r="L20" s="122"/>
    </row>
    <row r="21" spans="2:19" x14ac:dyDescent="0.25">
      <c r="B21" s="194"/>
      <c r="C21" s="194"/>
      <c r="D21" s="198"/>
      <c r="E21" s="198"/>
      <c r="F21" s="198"/>
      <c r="G21" s="198"/>
      <c r="H21" s="198"/>
      <c r="I21" s="198"/>
      <c r="J21" s="198"/>
    </row>
    <row r="22" spans="2:19" x14ac:dyDescent="0.25">
      <c r="B22" s="202" t="s">
        <v>34</v>
      </c>
      <c r="C22" s="202"/>
      <c r="D22" s="517">
        <f>'1.Project Cost and MOF'!D12</f>
        <v>35340688.469999999</v>
      </c>
      <c r="E22" s="517"/>
      <c r="F22" s="517"/>
      <c r="G22" s="517"/>
      <c r="H22" s="517"/>
      <c r="I22" s="517"/>
      <c r="J22" s="517"/>
    </row>
    <row r="23" spans="2:19" x14ac:dyDescent="0.25">
      <c r="F23" s="201">
        <f>D20-D22</f>
        <v>0</v>
      </c>
    </row>
    <row r="24" spans="2:19" ht="29.65" customHeight="1" x14ac:dyDescent="0.25">
      <c r="B24" s="516" t="s">
        <v>416</v>
      </c>
      <c r="C24" s="516"/>
      <c r="D24" s="516"/>
      <c r="E24" s="516"/>
      <c r="F24" s="516"/>
      <c r="G24" s="516"/>
      <c r="H24" s="516"/>
      <c r="I24" s="516"/>
      <c r="J24" s="516"/>
    </row>
    <row r="25" spans="2:19" x14ac:dyDescent="0.25">
      <c r="K25" s="201"/>
      <c r="L25" s="201"/>
      <c r="M25" s="201"/>
    </row>
    <row r="26" spans="2:19" ht="18.75" x14ac:dyDescent="0.3">
      <c r="B26" s="479" t="s">
        <v>561</v>
      </c>
      <c r="C26" s="479"/>
      <c r="D26" s="479"/>
      <c r="E26" s="479"/>
      <c r="F26" s="479"/>
      <c r="G26" s="479"/>
      <c r="H26" s="479"/>
      <c r="I26" s="479"/>
    </row>
    <row r="27" spans="2:19" x14ac:dyDescent="0.25">
      <c r="K27" s="201"/>
    </row>
    <row r="28" spans="2:19" x14ac:dyDescent="0.25">
      <c r="B28" s="203" t="s">
        <v>0</v>
      </c>
      <c r="C28" s="204" t="s">
        <v>2</v>
      </c>
      <c r="D28" s="204" t="s">
        <v>3</v>
      </c>
      <c r="E28" s="204" t="s">
        <v>4</v>
      </c>
      <c r="F28" s="204" t="s">
        <v>5</v>
      </c>
      <c r="G28" s="204" t="s">
        <v>6</v>
      </c>
      <c r="H28" s="204" t="s">
        <v>168</v>
      </c>
      <c r="I28" s="204" t="s">
        <v>167</v>
      </c>
    </row>
    <row r="29" spans="2:19" x14ac:dyDescent="0.25">
      <c r="B29" s="109"/>
      <c r="C29" s="109"/>
      <c r="D29" s="109"/>
      <c r="E29" s="109"/>
      <c r="F29" s="109"/>
      <c r="G29" s="109"/>
      <c r="H29" s="109"/>
      <c r="I29" s="109"/>
    </row>
    <row r="30" spans="2:19" x14ac:dyDescent="0.25">
      <c r="B30" s="109" t="s">
        <v>36</v>
      </c>
      <c r="C30" s="109"/>
      <c r="D30" s="109"/>
      <c r="E30" s="109"/>
      <c r="F30" s="109"/>
      <c r="G30" s="109"/>
      <c r="H30" s="109"/>
      <c r="I30" s="109"/>
    </row>
    <row r="31" spans="2:19" x14ac:dyDescent="0.25">
      <c r="B31" s="109"/>
      <c r="C31" s="156"/>
      <c r="D31" s="156"/>
      <c r="E31" s="156"/>
      <c r="F31" s="156"/>
      <c r="G31" s="156"/>
      <c r="H31" s="156"/>
      <c r="I31" s="156"/>
    </row>
    <row r="32" spans="2:19" hidden="1" x14ac:dyDescent="0.25">
      <c r="B32" s="188" t="str">
        <f>'6.Cons Profit &amp; Loss'!A8</f>
        <v>Faclitiy 1 - Cleaning &amp; Grading</v>
      </c>
      <c r="C32" s="156">
        <f>'6.Cons Profit &amp; Loss'!B8</f>
        <v>59454285.919874981</v>
      </c>
      <c r="D32" s="156">
        <f>'6.Cons Profit &amp; Loss'!C8</f>
        <v>68669700.237455606</v>
      </c>
      <c r="E32" s="156">
        <f>'6.Cons Profit &amp; Loss'!D8</f>
        <v>76473075.26443921</v>
      </c>
      <c r="F32" s="156">
        <f>'6.Cons Profit &amp; Loss'!E8</f>
        <v>84885113.543527529</v>
      </c>
      <c r="G32" s="156">
        <f>'6.Cons Profit &amp; Loss'!F8</f>
        <v>93947172.962363571</v>
      </c>
      <c r="H32" s="156">
        <f>'6.Cons Profit &amp; Loss'!G8</f>
        <v>103703225.53922445</v>
      </c>
      <c r="I32" s="156">
        <f>'6.Cons Profit &amp; Loss'!H8</f>
        <v>114200015.44136544</v>
      </c>
    </row>
    <row r="33" spans="2:9" x14ac:dyDescent="0.25">
      <c r="B33" s="188" t="str">
        <f>'6.Cons Profit &amp; Loss'!A9</f>
        <v>Faclitiy 2 - Processing Unit- Dal Mill</v>
      </c>
      <c r="C33" s="156">
        <f>'6.Cons Profit &amp; Loss'!B9</f>
        <v>69211148.344799995</v>
      </c>
      <c r="D33" s="156">
        <f>'6.Cons Profit &amp; Loss'!C9</f>
        <v>81392310.453484803</v>
      </c>
      <c r="E33" s="156">
        <f>'6.Cons Profit &amp; Loss'!D9</f>
        <v>94618560.902176097</v>
      </c>
      <c r="F33" s="156">
        <f>'6.Cons Profit &amp; Loss'!E9</f>
        <v>108963955.61960283</v>
      </c>
      <c r="G33" s="156">
        <f>'6.Cons Profit &amp; Loss'!F9</f>
        <v>124507343.40651676</v>
      </c>
      <c r="H33" s="156">
        <f>'6.Cons Profit &amp; Loss'!G9</f>
        <v>141332660.08307311</v>
      </c>
      <c r="I33" s="156">
        <f>'6.Cons Profit &amp; Loss'!H9</f>
        <v>159529240.06876877</v>
      </c>
    </row>
    <row r="34" spans="2:9" hidden="1" x14ac:dyDescent="0.25">
      <c r="B34" s="188" t="str">
        <f>'6.Cons Profit &amp; Loss'!A10</f>
        <v>Faclitiy 3 - Warehouse</v>
      </c>
      <c r="C34" s="156">
        <f>'6.Cons Profit &amp; Loss'!B10</f>
        <v>1440000</v>
      </c>
      <c r="D34" s="156">
        <f>'6.Cons Profit &amp; Loss'!C10</f>
        <v>1606500.0000000002</v>
      </c>
      <c r="E34" s="156">
        <f>'6.Cons Profit &amp; Loss'!D10</f>
        <v>1786050.0000000002</v>
      </c>
      <c r="F34" s="156">
        <f>'6.Cons Profit &amp; Loss'!E10</f>
        <v>1979538.7500000007</v>
      </c>
      <c r="G34" s="156">
        <f>'6.Cons Profit &amp; Loss'!F10</f>
        <v>2187911.2500000009</v>
      </c>
      <c r="H34" s="156">
        <f>'6.Cons Profit &amp; Loss'!G10</f>
        <v>2297306.8125000014</v>
      </c>
      <c r="I34" s="156">
        <f>'6.Cons Profit &amp; Loss'!H10</f>
        <v>2412172.1531250016</v>
      </c>
    </row>
    <row r="35" spans="2:9" hidden="1" x14ac:dyDescent="0.25">
      <c r="B35" s="188" t="str">
        <f>'6.Cons Profit &amp; Loss'!A11</f>
        <v xml:space="preserve">Faclitiy 4 - Custom Hiring </v>
      </c>
      <c r="C35" s="156">
        <f>'6.Cons Profit &amp; Loss'!B11</f>
        <v>0</v>
      </c>
      <c r="D35" s="156">
        <f>'6.Cons Profit &amp; Loss'!C11</f>
        <v>0</v>
      </c>
      <c r="E35" s="156">
        <f>'6.Cons Profit &amp; Loss'!D11</f>
        <v>0</v>
      </c>
      <c r="F35" s="156">
        <f>'6.Cons Profit &amp; Loss'!E11</f>
        <v>0</v>
      </c>
      <c r="G35" s="156">
        <f>'6.Cons Profit &amp; Loss'!F11</f>
        <v>0</v>
      </c>
      <c r="H35" s="156">
        <f>'6.Cons Profit &amp; Loss'!G11</f>
        <v>0</v>
      </c>
      <c r="I35" s="156">
        <f>'6.Cons Profit &amp; Loss'!H11</f>
        <v>0</v>
      </c>
    </row>
    <row r="36" spans="2:9" hidden="1" x14ac:dyDescent="0.25">
      <c r="B36" s="188" t="str">
        <f>'6.Cons Profit &amp; Loss'!A12</f>
        <v>Faclitiy 5 - Agri Input Centre</v>
      </c>
      <c r="C36" s="156">
        <f>'6.Cons Profit &amp; Loss'!B12</f>
        <v>0</v>
      </c>
      <c r="D36" s="156">
        <f>'6.Cons Profit &amp; Loss'!C12</f>
        <v>0</v>
      </c>
      <c r="E36" s="156">
        <f>'6.Cons Profit &amp; Loss'!D12</f>
        <v>0</v>
      </c>
      <c r="F36" s="156">
        <f>'6.Cons Profit &amp; Loss'!E12</f>
        <v>0</v>
      </c>
      <c r="G36" s="156">
        <f>'6.Cons Profit &amp; Loss'!F12</f>
        <v>0</v>
      </c>
      <c r="H36" s="156">
        <f>'6.Cons Profit &amp; Loss'!G12</f>
        <v>0</v>
      </c>
      <c r="I36" s="156">
        <f>'6.Cons Profit &amp; Loss'!H12</f>
        <v>0</v>
      </c>
    </row>
    <row r="37" spans="2:9" hidden="1" x14ac:dyDescent="0.25">
      <c r="B37" s="188" t="str">
        <f>'6.Cons Profit &amp; Loss'!A13</f>
        <v>Facility 6 - Processing Unit - Horti Commodity</v>
      </c>
      <c r="C37" s="156">
        <f>'6.Cons Profit &amp; Loss'!B13</f>
        <v>0</v>
      </c>
      <c r="D37" s="156">
        <f>'6.Cons Profit &amp; Loss'!C13</f>
        <v>0</v>
      </c>
      <c r="E37" s="156">
        <f>'6.Cons Profit &amp; Loss'!D13</f>
        <v>0</v>
      </c>
      <c r="F37" s="156">
        <f>'6.Cons Profit &amp; Loss'!E13</f>
        <v>0</v>
      </c>
      <c r="G37" s="156">
        <f>'6.Cons Profit &amp; Loss'!F13</f>
        <v>0</v>
      </c>
      <c r="H37" s="156">
        <f>'6.Cons Profit &amp; Loss'!G13</f>
        <v>0</v>
      </c>
      <c r="I37" s="156">
        <f>'6.Cons Profit &amp; Loss'!H13</f>
        <v>0</v>
      </c>
    </row>
    <row r="38" spans="2:9" x14ac:dyDescent="0.25">
      <c r="B38" s="188"/>
      <c r="C38" s="188"/>
      <c r="D38" s="188"/>
      <c r="E38" s="188"/>
      <c r="F38" s="188"/>
      <c r="G38" s="188"/>
      <c r="H38" s="188"/>
      <c r="I38" s="188"/>
    </row>
    <row r="39" spans="2:9" x14ac:dyDescent="0.25">
      <c r="B39" s="109" t="s">
        <v>8</v>
      </c>
      <c r="C39" s="156">
        <f>SUM(C32:C38)</f>
        <v>130105434.26467498</v>
      </c>
      <c r="D39" s="156">
        <f t="shared" ref="D39:I39" si="4">SUM(D32:D38)</f>
        <v>151668510.69094041</v>
      </c>
      <c r="E39" s="156">
        <f t="shared" si="4"/>
        <v>172877686.16661531</v>
      </c>
      <c r="F39" s="156">
        <f t="shared" si="4"/>
        <v>195828607.91313034</v>
      </c>
      <c r="G39" s="156">
        <f t="shared" si="4"/>
        <v>220642427.61888033</v>
      </c>
      <c r="H39" s="156">
        <f t="shared" si="4"/>
        <v>247333192.43479756</v>
      </c>
      <c r="I39" s="156">
        <f t="shared" si="4"/>
        <v>276141427.66325921</v>
      </c>
    </row>
    <row r="40" spans="2:9" x14ac:dyDescent="0.25">
      <c r="B40" s="109"/>
      <c r="C40" s="156"/>
      <c r="D40" s="156"/>
      <c r="E40" s="156"/>
      <c r="F40" s="156"/>
      <c r="G40" s="156"/>
      <c r="H40" s="156"/>
      <c r="I40" s="156"/>
    </row>
    <row r="41" spans="2:9" x14ac:dyDescent="0.25">
      <c r="B41" s="109" t="s">
        <v>37</v>
      </c>
      <c r="C41" s="156">
        <f>'6.Cons Profit &amp; Loss'!B25</f>
        <v>120335843.266045</v>
      </c>
      <c r="D41" s="156">
        <f>'6.Cons Profit &amp; Loss'!C25</f>
        <v>140962514.94743368</v>
      </c>
      <c r="E41" s="156">
        <f>'6.Cons Profit &amp; Loss'!D25</f>
        <v>160753313.69157028</v>
      </c>
      <c r="F41" s="156">
        <f>'6.Cons Profit &amp; Loss'!E25</f>
        <v>182171429.647699</v>
      </c>
      <c r="G41" s="156">
        <f>'6.Cons Profit &amp; Loss'!F25</f>
        <v>205331313.59433967</v>
      </c>
      <c r="H41" s="156">
        <f>'6.Cons Profit &amp; Loss'!G25</f>
        <v>230347209.84779492</v>
      </c>
      <c r="I41" s="156">
        <f>'6.Cons Profit &amp; Loss'!H25</f>
        <v>257356115.6526368</v>
      </c>
    </row>
    <row r="42" spans="2:9" x14ac:dyDescent="0.25">
      <c r="B42" s="109"/>
      <c r="C42" s="156"/>
      <c r="D42" s="156"/>
      <c r="E42" s="156"/>
      <c r="F42" s="156"/>
      <c r="G42" s="156"/>
      <c r="H42" s="156"/>
      <c r="I42" s="156"/>
    </row>
    <row r="43" spans="2:9" x14ac:dyDescent="0.25">
      <c r="B43" s="113" t="s">
        <v>38</v>
      </c>
      <c r="C43" s="155">
        <f>C39-C41</f>
        <v>9769590.9986299723</v>
      </c>
      <c r="D43" s="155">
        <f t="shared" ref="D43:I43" si="5">D39-D41</f>
        <v>10705995.74350673</v>
      </c>
      <c r="E43" s="155">
        <f t="shared" si="5"/>
        <v>12124372.475045025</v>
      </c>
      <c r="F43" s="155">
        <f t="shared" si="5"/>
        <v>13657178.265431345</v>
      </c>
      <c r="G43" s="155">
        <f t="shared" si="5"/>
        <v>15311114.024540663</v>
      </c>
      <c r="H43" s="155">
        <f t="shared" si="5"/>
        <v>16985982.587002635</v>
      </c>
      <c r="I43" s="155">
        <f t="shared" si="5"/>
        <v>18785312.010622412</v>
      </c>
    </row>
    <row r="44" spans="2:9" x14ac:dyDescent="0.25">
      <c r="B44" s="109"/>
      <c r="C44" s="156"/>
      <c r="D44" s="156"/>
      <c r="E44" s="156"/>
      <c r="F44" s="156"/>
      <c r="G44" s="156"/>
      <c r="H44" s="156"/>
      <c r="I44" s="156"/>
    </row>
    <row r="45" spans="2:9" x14ac:dyDescent="0.25">
      <c r="B45" s="113" t="s">
        <v>40</v>
      </c>
      <c r="C45" s="155">
        <f>'6.Cons Profit &amp; Loss'!B36+'3.Other Exp &amp; Taxes'!K66+'6.Cons Profit &amp; Loss'!B43</f>
        <v>6677582.5704999994</v>
      </c>
      <c r="D45" s="155">
        <f>'6.Cons Profit &amp; Loss'!C36+'3.Other Exp &amp; Taxes'!L66+'6.Cons Profit &amp; Loss'!C43</f>
        <v>6188798.5349249998</v>
      </c>
      <c r="E45" s="155">
        <f>'6.Cons Profit &amp; Loss'!D36+'3.Other Exp &amp; Taxes'!M66+'6.Cons Profit &amp; Loss'!D43</f>
        <v>5822495.1396862492</v>
      </c>
      <c r="F45" s="155">
        <f>'6.Cons Profit &amp; Loss'!E36+'3.Other Exp &amp; Taxes'!N66+'6.Cons Profit &amp; Loss'!E43</f>
        <v>5548020.4372333121</v>
      </c>
      <c r="G45" s="155">
        <f>'6.Cons Profit &amp; Loss'!F36+'3.Other Exp &amp; Taxes'!O66+'6.Cons Profit &amp; Loss'!F43</f>
        <v>5345134.4664983153</v>
      </c>
      <c r="H45" s="155">
        <f>'6.Cons Profit &amp; Loss'!G36+'3.Other Exp &amp; Taxes'!P66+'6.Cons Profit &amp; Loss'!G43</f>
        <v>5200113.5913085677</v>
      </c>
      <c r="I45" s="155">
        <f>'6.Cons Profit &amp; Loss'!H36+'3.Other Exp &amp; Taxes'!Q66+'6.Cons Profit &amp; Loss'!H43</f>
        <v>5103377.6540457839</v>
      </c>
    </row>
    <row r="46" spans="2:9" x14ac:dyDescent="0.25">
      <c r="B46" s="109"/>
      <c r="C46" s="109"/>
      <c r="D46" s="109"/>
      <c r="E46" s="109"/>
      <c r="F46" s="109"/>
      <c r="G46" s="109"/>
      <c r="H46" s="109"/>
      <c r="I46" s="109"/>
    </row>
    <row r="47" spans="2:9" x14ac:dyDescent="0.25">
      <c r="B47" s="109" t="s">
        <v>39</v>
      </c>
      <c r="C47" s="167">
        <f>C45/C43</f>
        <v>0.68350687059841331</v>
      </c>
      <c r="D47" s="167">
        <f>D45/D43</f>
        <v>0.57806846585741967</v>
      </c>
      <c r="E47" s="167">
        <f>E45/E43</f>
        <v>0.4802306388780444</v>
      </c>
      <c r="F47" s="167">
        <f>F45/F43</f>
        <v>0.40623475284614985</v>
      </c>
      <c r="G47" s="167">
        <f>G45/G43</f>
        <v>0.34910160409824725</v>
      </c>
      <c r="H47" s="167">
        <f t="shared" ref="H47:I47" si="6">H45/H43</f>
        <v>0.30614146486218585</v>
      </c>
      <c r="I47" s="167">
        <f t="shared" si="6"/>
        <v>0.27166850628618833</v>
      </c>
    </row>
    <row r="48" spans="2:9" x14ac:dyDescent="0.25">
      <c r="B48" s="150"/>
      <c r="C48" s="150"/>
      <c r="D48" s="150"/>
      <c r="E48" s="150"/>
      <c r="F48" s="150"/>
      <c r="G48" s="150"/>
      <c r="H48" s="150"/>
      <c r="I48" s="150"/>
    </row>
    <row r="49" spans="2:10" x14ac:dyDescent="0.25">
      <c r="B49" s="119" t="s">
        <v>132</v>
      </c>
      <c r="C49" s="205">
        <f>AVERAGE(C47:I47)</f>
        <v>0.43927890048952128</v>
      </c>
      <c r="D49" s="150"/>
      <c r="E49" s="150"/>
      <c r="F49" s="150"/>
      <c r="G49" s="150"/>
      <c r="H49" s="150"/>
      <c r="I49" s="150"/>
    </row>
    <row r="51" spans="2:10" ht="41.65" customHeight="1" x14ac:dyDescent="0.25">
      <c r="B51" s="518" t="s">
        <v>417</v>
      </c>
      <c r="C51" s="518"/>
      <c r="D51" s="518"/>
      <c r="E51" s="518"/>
      <c r="F51" s="518"/>
      <c r="G51" s="518"/>
      <c r="H51" s="518"/>
      <c r="I51" s="518"/>
      <c r="J51" s="518"/>
    </row>
    <row r="54" spans="2:10" ht="18.75" x14ac:dyDescent="0.3">
      <c r="B54" s="479" t="s">
        <v>691</v>
      </c>
      <c r="C54" s="479"/>
      <c r="D54" s="479"/>
      <c r="E54" s="479"/>
      <c r="F54" s="479"/>
      <c r="G54" s="479"/>
      <c r="H54" s="479"/>
      <c r="I54" s="479"/>
    </row>
    <row r="56" spans="2:10" x14ac:dyDescent="0.25">
      <c r="B56" s="106" t="s">
        <v>29</v>
      </c>
      <c r="C56" s="107" t="s">
        <v>2</v>
      </c>
      <c r="D56" s="107" t="s">
        <v>3</v>
      </c>
      <c r="E56" s="107" t="s">
        <v>4</v>
      </c>
      <c r="F56" s="107" t="s">
        <v>5</v>
      </c>
      <c r="G56" s="107" t="s">
        <v>6</v>
      </c>
      <c r="H56" s="107" t="s">
        <v>168</v>
      </c>
      <c r="I56" s="107" t="s">
        <v>167</v>
      </c>
    </row>
    <row r="57" spans="2:10" x14ac:dyDescent="0.25">
      <c r="B57" s="109"/>
      <c r="C57" s="109"/>
      <c r="D57" s="109"/>
      <c r="E57" s="109"/>
      <c r="F57" s="109"/>
      <c r="G57" s="109"/>
      <c r="H57" s="109"/>
      <c r="I57" s="109"/>
    </row>
    <row r="58" spans="2:10" x14ac:dyDescent="0.25">
      <c r="B58" s="109" t="s">
        <v>367</v>
      </c>
      <c r="C58" s="206">
        <f>'6.Cons Profit &amp; Loss'!B51</f>
        <v>3613485.513620764</v>
      </c>
      <c r="D58" s="206">
        <f>'6.Cons Profit &amp; Loss'!C51</f>
        <v>4201993.468800839</v>
      </c>
      <c r="E58" s="206">
        <f>'6.Cons Profit &amp; Loss'!D51</f>
        <v>5306634.3529657302</v>
      </c>
      <c r="F58" s="206">
        <f>'6.Cons Profit &amp; Loss'!E51</f>
        <v>6550864.6225516358</v>
      </c>
      <c r="G58" s="206">
        <f>'6.Cons Profit &amp; Loss'!F51</f>
        <v>7740478.802994689</v>
      </c>
      <c r="H58" s="206">
        <f>'6.Cons Profit &amp; Loss'!G51</f>
        <v>8732608.341690436</v>
      </c>
      <c r="I58" s="206">
        <f>'6.Cons Profit &amp; Loss'!H51</f>
        <v>9817083.3328272104</v>
      </c>
    </row>
    <row r="59" spans="2:10" x14ac:dyDescent="0.25">
      <c r="B59" s="109"/>
      <c r="C59" s="206"/>
      <c r="D59" s="206"/>
      <c r="E59" s="206"/>
      <c r="F59" s="206"/>
      <c r="G59" s="206"/>
      <c r="H59" s="206"/>
      <c r="I59" s="206"/>
    </row>
    <row r="60" spans="2:10" x14ac:dyDescent="0.25">
      <c r="B60" s="109" t="s">
        <v>41</v>
      </c>
      <c r="C60" s="206">
        <f>'6.Cons Profit &amp; Loss'!B42</f>
        <v>1522876.6802509998</v>
      </c>
      <c r="D60" s="206">
        <f>'6.Cons Profit &amp; Loss'!C42</f>
        <v>1522876.6802509998</v>
      </c>
      <c r="E60" s="206">
        <f>'6.Cons Profit &amp; Loss'!D42</f>
        <v>1522876.6802509998</v>
      </c>
      <c r="F60" s="206">
        <f>'6.Cons Profit &amp; Loss'!E42</f>
        <v>1522876.6802509998</v>
      </c>
      <c r="G60" s="206">
        <f>'6.Cons Profit &amp; Loss'!F42</f>
        <v>1522876.6802509998</v>
      </c>
      <c r="H60" s="206">
        <f>'6.Cons Profit &amp; Loss'!G42</f>
        <v>1522876.6802509998</v>
      </c>
      <c r="I60" s="206">
        <f>'6.Cons Profit &amp; Loss'!H42</f>
        <v>1522876.6802509998</v>
      </c>
    </row>
    <row r="61" spans="2:10" x14ac:dyDescent="0.25">
      <c r="B61" s="170" t="s">
        <v>47</v>
      </c>
      <c r="C61" s="206">
        <f>'6.Cons Profit &amp; Loss'!B43</f>
        <v>0</v>
      </c>
      <c r="D61" s="206">
        <f>'6.Cons Profit &amp; Loss'!C43</f>
        <v>0</v>
      </c>
      <c r="E61" s="206">
        <f>'6.Cons Profit &amp; Loss'!D43</f>
        <v>0</v>
      </c>
      <c r="F61" s="206">
        <f>'6.Cons Profit &amp; Loss'!E43</f>
        <v>0</v>
      </c>
      <c r="G61" s="206">
        <f>'6.Cons Profit &amp; Loss'!F43</f>
        <v>0</v>
      </c>
      <c r="H61" s="206">
        <f>'6.Cons Profit &amp; Loss'!G43</f>
        <v>0</v>
      </c>
      <c r="I61" s="206">
        <f>'6.Cons Profit &amp; Loss'!H43</f>
        <v>0</v>
      </c>
    </row>
    <row r="62" spans="2:10" x14ac:dyDescent="0.25">
      <c r="B62" s="109"/>
      <c r="C62" s="206"/>
      <c r="D62" s="206"/>
      <c r="E62" s="206"/>
      <c r="F62" s="206"/>
      <c r="G62" s="206"/>
      <c r="H62" s="206"/>
      <c r="I62" s="206"/>
    </row>
    <row r="63" spans="2:10" x14ac:dyDescent="0.25">
      <c r="B63" s="109" t="s">
        <v>31</v>
      </c>
      <c r="C63" s="206">
        <f>SUM(C58:C61)</f>
        <v>5136362.1938717635</v>
      </c>
      <c r="D63" s="206">
        <f t="shared" ref="D63:I63" si="7">SUM(D58:D61)</f>
        <v>5724870.1490518386</v>
      </c>
      <c r="E63" s="206">
        <f t="shared" si="7"/>
        <v>6829511.0332167298</v>
      </c>
      <c r="F63" s="206">
        <f t="shared" si="7"/>
        <v>8073741.3028026354</v>
      </c>
      <c r="G63" s="206">
        <f t="shared" si="7"/>
        <v>9263355.4832456894</v>
      </c>
      <c r="H63" s="206">
        <f t="shared" si="7"/>
        <v>10255485.021941436</v>
      </c>
      <c r="I63" s="206">
        <f t="shared" si="7"/>
        <v>11339960.013078211</v>
      </c>
    </row>
    <row r="64" spans="2:10" x14ac:dyDescent="0.25">
      <c r="B64" s="109"/>
      <c r="C64" s="109"/>
      <c r="D64" s="109"/>
      <c r="E64" s="109"/>
      <c r="F64" s="109"/>
      <c r="G64" s="109"/>
      <c r="H64" s="109"/>
      <c r="I64" s="109"/>
    </row>
    <row r="65" spans="2:10" ht="16.5" x14ac:dyDescent="0.25">
      <c r="B65" s="207" t="s">
        <v>42</v>
      </c>
      <c r="C65" s="188">
        <f>1/1.1</f>
        <v>0.90909090909090906</v>
      </c>
      <c r="D65" s="188">
        <f t="shared" ref="D65:I65" si="8">C65/1.1</f>
        <v>0.82644628099173545</v>
      </c>
      <c r="E65" s="188">
        <f t="shared" si="8"/>
        <v>0.75131480090157765</v>
      </c>
      <c r="F65" s="188">
        <f t="shared" si="8"/>
        <v>0.68301345536507052</v>
      </c>
      <c r="G65" s="188">
        <f t="shared" si="8"/>
        <v>0.62092132305915493</v>
      </c>
      <c r="H65" s="188">
        <f t="shared" si="8"/>
        <v>0.56447393005377711</v>
      </c>
      <c r="I65" s="188">
        <f t="shared" si="8"/>
        <v>0.51315811823070645</v>
      </c>
    </row>
    <row r="66" spans="2:10" x14ac:dyDescent="0.25">
      <c r="B66" s="109"/>
      <c r="C66" s="109"/>
      <c r="D66" s="109"/>
      <c r="E66" s="109"/>
      <c r="F66" s="109"/>
      <c r="G66" s="109"/>
      <c r="H66" s="109"/>
      <c r="I66" s="109"/>
    </row>
    <row r="67" spans="2:10" ht="16.5" x14ac:dyDescent="0.25">
      <c r="B67" s="207" t="s">
        <v>43</v>
      </c>
      <c r="C67" s="156">
        <f>C63*C65</f>
        <v>4669420.1762470575</v>
      </c>
      <c r="D67" s="156">
        <f t="shared" ref="D67:I67" si="9">D63*D65</f>
        <v>4731297.6438444946</v>
      </c>
      <c r="E67" s="156">
        <f t="shared" si="9"/>
        <v>5131112.7221763553</v>
      </c>
      <c r="F67" s="156">
        <f t="shared" si="9"/>
        <v>5514473.944950914</v>
      </c>
      <c r="G67" s="156">
        <f t="shared" si="9"/>
        <v>5751814.9426241908</v>
      </c>
      <c r="H67" s="156">
        <f t="shared" si="9"/>
        <v>5788953.9349429291</v>
      </c>
      <c r="I67" s="156">
        <f t="shared" si="9"/>
        <v>5819192.5411226721</v>
      </c>
    </row>
    <row r="68" spans="2:10" x14ac:dyDescent="0.25">
      <c r="B68" s="150"/>
      <c r="C68" s="208"/>
      <c r="D68" s="208"/>
      <c r="E68" s="208"/>
      <c r="F68" s="208"/>
      <c r="G68" s="208"/>
      <c r="H68" s="208"/>
      <c r="I68" s="208"/>
    </row>
    <row r="69" spans="2:10" ht="16.5" x14ac:dyDescent="0.25">
      <c r="B69" s="209" t="s">
        <v>44</v>
      </c>
      <c r="C69" s="208">
        <f>SUM(C67:I67)</f>
        <v>37406265.905908614</v>
      </c>
      <c r="D69" s="208"/>
      <c r="E69" s="208"/>
      <c r="F69" s="208"/>
      <c r="G69" s="208"/>
      <c r="H69" s="208"/>
      <c r="I69" s="208"/>
    </row>
    <row r="70" spans="2:10" x14ac:dyDescent="0.25">
      <c r="B70" s="150"/>
      <c r="C70" s="208"/>
      <c r="D70" s="208"/>
      <c r="E70" s="208"/>
      <c r="F70" s="208"/>
      <c r="G70" s="208"/>
      <c r="H70" s="208"/>
      <c r="I70" s="208"/>
    </row>
    <row r="71" spans="2:10" ht="16.5" x14ac:dyDescent="0.25">
      <c r="B71" s="209" t="s">
        <v>45</v>
      </c>
      <c r="C71" s="208">
        <f>'1.Project Cost and MOF'!D12</f>
        <v>35340688.469999999</v>
      </c>
      <c r="D71" s="208"/>
      <c r="E71" s="208"/>
      <c r="F71" s="208"/>
      <c r="G71" s="208"/>
      <c r="H71" s="208"/>
      <c r="I71" s="208"/>
    </row>
    <row r="72" spans="2:10" x14ac:dyDescent="0.25">
      <c r="B72" s="150"/>
      <c r="C72" s="210"/>
      <c r="D72" s="150"/>
      <c r="E72" s="150"/>
      <c r="F72" s="150"/>
      <c r="G72" s="150"/>
      <c r="H72" s="150"/>
      <c r="I72" s="150"/>
    </row>
    <row r="73" spans="2:10" ht="16.5" x14ac:dyDescent="0.25">
      <c r="B73" s="209" t="s">
        <v>46</v>
      </c>
      <c r="C73" s="211">
        <f>C69-C71</f>
        <v>2065577.4359086156</v>
      </c>
      <c r="D73" s="150"/>
      <c r="E73" s="150"/>
      <c r="F73" s="150"/>
      <c r="G73" s="150"/>
      <c r="H73" s="150"/>
      <c r="I73" s="150"/>
    </row>
    <row r="75" spans="2:10" ht="35.1" customHeight="1" x14ac:dyDescent="0.25">
      <c r="B75" s="488" t="s">
        <v>418</v>
      </c>
      <c r="C75" s="488"/>
      <c r="D75" s="488"/>
      <c r="E75" s="488"/>
      <c r="F75" s="488"/>
      <c r="G75" s="488"/>
      <c r="H75" s="488"/>
      <c r="I75" s="488"/>
      <c r="J75" s="488"/>
    </row>
    <row r="76" spans="2:10" ht="18.75" x14ac:dyDescent="0.3">
      <c r="B76" s="479" t="s">
        <v>562</v>
      </c>
      <c r="C76" s="479"/>
      <c r="D76" s="479"/>
      <c r="E76" s="479"/>
      <c r="F76" s="479"/>
      <c r="G76" s="479"/>
      <c r="H76" s="479"/>
      <c r="I76" s="479"/>
    </row>
    <row r="77" spans="2:10" x14ac:dyDescent="0.25">
      <c r="B77" s="150"/>
      <c r="C77" s="150"/>
      <c r="D77" s="150"/>
      <c r="E77" s="150"/>
      <c r="F77" s="150"/>
      <c r="G77" s="150"/>
      <c r="H77" s="150"/>
      <c r="I77" s="150"/>
    </row>
    <row r="78" spans="2:10" ht="15.75" x14ac:dyDescent="0.25">
      <c r="B78" s="212" t="s">
        <v>0</v>
      </c>
      <c r="C78" s="212" t="s">
        <v>2</v>
      </c>
      <c r="D78" s="212" t="s">
        <v>3</v>
      </c>
      <c r="E78" s="212" t="s">
        <v>4</v>
      </c>
      <c r="F78" s="212" t="s">
        <v>5</v>
      </c>
      <c r="G78" s="212" t="s">
        <v>6</v>
      </c>
      <c r="H78" s="212" t="s">
        <v>168</v>
      </c>
      <c r="I78" s="212" t="s">
        <v>167</v>
      </c>
    </row>
    <row r="79" spans="2:10" ht="15.75" x14ac:dyDescent="0.25">
      <c r="B79" s="213"/>
      <c r="C79" s="214"/>
      <c r="D79" s="214"/>
      <c r="E79" s="214"/>
      <c r="F79" s="214"/>
      <c r="G79" s="214"/>
      <c r="H79" s="214"/>
      <c r="I79" s="214"/>
    </row>
    <row r="80" spans="2:10" x14ac:dyDescent="0.25">
      <c r="B80" s="113" t="s">
        <v>27</v>
      </c>
      <c r="C80" s="156">
        <f>'6.Cons Profit &amp; Loss'!B45</f>
        <v>5815914.3183789728</v>
      </c>
      <c r="D80" s="156">
        <f>'6.Cons Profit &amp; Loss'!C45</f>
        <v>6630779.0632557301</v>
      </c>
      <c r="E80" s="156">
        <f>'6.Cons Profit &amp; Loss'!D45</f>
        <v>7921538.7947940258</v>
      </c>
      <c r="F80" s="156">
        <f>'6.Cons Profit &amp; Loss'!E45</f>
        <v>9320346.73518035</v>
      </c>
      <c r="G80" s="156">
        <f>'6.Cons Profit &amp; Loss'!F45</f>
        <v>10833584.751789661</v>
      </c>
      <c r="H80" s="156">
        <f>'6.Cons Profit &amp; Loss'!G45</f>
        <v>12360720.684626641</v>
      </c>
      <c r="I80" s="156">
        <f>'6.Cons Profit &amp; Loss'!H45</f>
        <v>14004930.847140165</v>
      </c>
    </row>
    <row r="81" spans="2:10" x14ac:dyDescent="0.25">
      <c r="B81" s="109"/>
      <c r="C81" s="109"/>
      <c r="D81" s="109"/>
      <c r="E81" s="109"/>
      <c r="F81" s="109"/>
      <c r="G81" s="109"/>
      <c r="H81" s="109"/>
      <c r="I81" s="109"/>
    </row>
    <row r="82" spans="2:10" x14ac:dyDescent="0.25">
      <c r="B82" s="113" t="s">
        <v>123</v>
      </c>
      <c r="C82" s="519">
        <f>AVERAGE(C80:I80)</f>
        <v>9555402.1707379334</v>
      </c>
      <c r="D82" s="519"/>
      <c r="E82" s="519"/>
      <c r="F82" s="519"/>
      <c r="G82" s="519"/>
      <c r="H82" s="519"/>
      <c r="I82" s="519"/>
    </row>
    <row r="83" spans="2:10" x14ac:dyDescent="0.25">
      <c r="B83" s="113" t="s">
        <v>124</v>
      </c>
      <c r="C83" s="519">
        <f>'1.Project Cost and MOF'!D12</f>
        <v>35340688.469999999</v>
      </c>
      <c r="D83" s="519"/>
      <c r="E83" s="519"/>
      <c r="F83" s="519"/>
      <c r="G83" s="519"/>
      <c r="H83" s="519"/>
      <c r="I83" s="519"/>
    </row>
    <row r="84" spans="2:10" x14ac:dyDescent="0.25">
      <c r="B84" s="109"/>
      <c r="C84" s="109"/>
      <c r="D84" s="109"/>
      <c r="E84" s="109"/>
      <c r="F84" s="109"/>
      <c r="G84" s="109"/>
      <c r="H84" s="109"/>
      <c r="I84" s="109"/>
    </row>
    <row r="85" spans="2:10" x14ac:dyDescent="0.25">
      <c r="B85" s="215" t="s">
        <v>125</v>
      </c>
      <c r="C85" s="520">
        <f>C82/C83</f>
        <v>0.27037962712156338</v>
      </c>
      <c r="D85" s="520"/>
      <c r="E85" s="520"/>
      <c r="F85" s="520"/>
      <c r="G85" s="520"/>
      <c r="H85" s="520"/>
      <c r="I85" s="520"/>
    </row>
    <row r="88" spans="2:10" x14ac:dyDescent="0.25">
      <c r="B88" s="514" t="s">
        <v>419</v>
      </c>
      <c r="C88" s="514"/>
      <c r="D88" s="514"/>
      <c r="E88" s="514"/>
      <c r="F88" s="514"/>
      <c r="G88" s="514"/>
      <c r="H88" s="514"/>
      <c r="I88" s="514"/>
    </row>
    <row r="90" spans="2:10" ht="18.75" x14ac:dyDescent="0.3">
      <c r="B90" s="479" t="s">
        <v>563</v>
      </c>
      <c r="C90" s="479"/>
      <c r="D90" s="479"/>
      <c r="E90" s="479"/>
      <c r="F90" s="479"/>
      <c r="G90" s="479"/>
      <c r="H90" s="479"/>
      <c r="I90" s="479"/>
      <c r="J90" s="479"/>
    </row>
    <row r="92" spans="2:10" x14ac:dyDescent="0.25">
      <c r="B92" s="204" t="s">
        <v>0</v>
      </c>
      <c r="C92" s="204" t="s">
        <v>329</v>
      </c>
      <c r="D92" s="204" t="s">
        <v>2</v>
      </c>
      <c r="E92" s="204" t="s">
        <v>3</v>
      </c>
      <c r="F92" s="204" t="s">
        <v>4</v>
      </c>
      <c r="G92" s="204" t="s">
        <v>5</v>
      </c>
      <c r="H92" s="204" t="s">
        <v>6</v>
      </c>
      <c r="I92" s="204" t="s">
        <v>168</v>
      </c>
      <c r="J92" s="204" t="s">
        <v>167</v>
      </c>
    </row>
    <row r="93" spans="2:10" x14ac:dyDescent="0.25">
      <c r="B93" s="216"/>
      <c r="C93" s="216"/>
      <c r="D93" s="217"/>
      <c r="E93" s="217"/>
      <c r="F93" s="217"/>
      <c r="G93" s="217"/>
      <c r="H93" s="217"/>
      <c r="I93" s="217"/>
      <c r="J93" s="217"/>
    </row>
    <row r="94" spans="2:10" x14ac:dyDescent="0.25">
      <c r="B94" s="133" t="s">
        <v>274</v>
      </c>
      <c r="C94" s="218">
        <f>'1.Project Cost and MOF'!D12</f>
        <v>35340688.469999999</v>
      </c>
      <c r="D94" s="217"/>
      <c r="E94" s="217"/>
      <c r="F94" s="217"/>
      <c r="G94" s="217"/>
      <c r="H94" s="217"/>
      <c r="I94" s="217"/>
      <c r="J94" s="217"/>
    </row>
    <row r="95" spans="2:10" x14ac:dyDescent="0.25">
      <c r="B95" s="109" t="str">
        <f>B58</f>
        <v>Profit after Tax &amp; Dividend</v>
      </c>
      <c r="C95" s="109"/>
      <c r="D95" s="156">
        <f>'6.Cons Profit &amp; Loss'!B51</f>
        <v>3613485.513620764</v>
      </c>
      <c r="E95" s="156">
        <f>'6.Cons Profit &amp; Loss'!C51</f>
        <v>4201993.468800839</v>
      </c>
      <c r="F95" s="156">
        <f>'6.Cons Profit &amp; Loss'!D51</f>
        <v>5306634.3529657302</v>
      </c>
      <c r="G95" s="156">
        <f>'6.Cons Profit &amp; Loss'!E51</f>
        <v>6550864.6225516358</v>
      </c>
      <c r="H95" s="156">
        <f>'6.Cons Profit &amp; Loss'!F51</f>
        <v>7740478.802994689</v>
      </c>
      <c r="I95" s="156">
        <f>'6.Cons Profit &amp; Loss'!G51</f>
        <v>8732608.341690436</v>
      </c>
      <c r="J95" s="156">
        <f>'6.Cons Profit &amp; Loss'!H51</f>
        <v>9817083.3328272104</v>
      </c>
    </row>
    <row r="96" spans="2:10" x14ac:dyDescent="0.25">
      <c r="B96" s="109" t="str">
        <f>B60</f>
        <v>Add: Deprication</v>
      </c>
      <c r="C96" s="109"/>
      <c r="D96" s="156">
        <f>'6.Cons Profit &amp; Loss'!B42</f>
        <v>1522876.6802509998</v>
      </c>
      <c r="E96" s="156">
        <f>'6.Cons Profit &amp; Loss'!C42</f>
        <v>1522876.6802509998</v>
      </c>
      <c r="F96" s="156">
        <f>'6.Cons Profit &amp; Loss'!D42</f>
        <v>1522876.6802509998</v>
      </c>
      <c r="G96" s="156">
        <f>'6.Cons Profit &amp; Loss'!E42</f>
        <v>1522876.6802509998</v>
      </c>
      <c r="H96" s="156">
        <f>'6.Cons Profit &amp; Loss'!F42</f>
        <v>1522876.6802509998</v>
      </c>
      <c r="I96" s="156">
        <f>'6.Cons Profit &amp; Loss'!G42</f>
        <v>1522876.6802509998</v>
      </c>
      <c r="J96" s="156">
        <f>'6.Cons Profit &amp; Loss'!H42</f>
        <v>1522876.6802509998</v>
      </c>
    </row>
    <row r="97" spans="2:10" x14ac:dyDescent="0.25">
      <c r="B97" s="109" t="str">
        <f>B61</f>
        <v>Add. Preliminary exp Written off</v>
      </c>
      <c r="C97" s="109"/>
      <c r="D97" s="156">
        <f>'6.Cons Profit &amp; Loss'!B43</f>
        <v>0</v>
      </c>
      <c r="E97" s="156">
        <f>'6.Cons Profit &amp; Loss'!C43</f>
        <v>0</v>
      </c>
      <c r="F97" s="156">
        <f>'6.Cons Profit &amp; Loss'!D43</f>
        <v>0</v>
      </c>
      <c r="G97" s="156">
        <f>'6.Cons Profit &amp; Loss'!E43</f>
        <v>0</v>
      </c>
      <c r="H97" s="156">
        <f>'6.Cons Profit &amp; Loss'!F43</f>
        <v>0</v>
      </c>
      <c r="I97" s="156">
        <f>'6.Cons Profit &amp; Loss'!G43</f>
        <v>0</v>
      </c>
      <c r="J97" s="156">
        <f>'6.Cons Profit &amp; Loss'!H43</f>
        <v>0</v>
      </c>
    </row>
    <row r="98" spans="2:10" x14ac:dyDescent="0.25">
      <c r="B98" s="109" t="str">
        <f>B63</f>
        <v xml:space="preserve">Net Cash Accrual (A)      </v>
      </c>
      <c r="C98" s="109"/>
      <c r="D98" s="187">
        <f>SUM(D95:D97)</f>
        <v>5136362.1938717635</v>
      </c>
      <c r="E98" s="187">
        <f t="shared" ref="E98:J98" si="10">SUM(E95:E97)</f>
        <v>5724870.1490518386</v>
      </c>
      <c r="F98" s="187">
        <f t="shared" si="10"/>
        <v>6829511.0332167298</v>
      </c>
      <c r="G98" s="187">
        <f t="shared" si="10"/>
        <v>8073741.3028026354</v>
      </c>
      <c r="H98" s="187">
        <f t="shared" si="10"/>
        <v>9263355.4832456894</v>
      </c>
      <c r="I98" s="187">
        <f t="shared" si="10"/>
        <v>10255485.021941436</v>
      </c>
      <c r="J98" s="187">
        <f t="shared" si="10"/>
        <v>11339960.013078211</v>
      </c>
    </row>
    <row r="99" spans="2:10" x14ac:dyDescent="0.25">
      <c r="B99" s="133" t="s">
        <v>275</v>
      </c>
      <c r="C99" s="219"/>
      <c r="D99" s="155">
        <f>D98-C94</f>
        <v>-30204326.276128236</v>
      </c>
      <c r="E99" s="155">
        <f>D99+E98</f>
        <v>-24479456.127076399</v>
      </c>
      <c r="F99" s="155">
        <f>E99+F98</f>
        <v>-17649945.093859669</v>
      </c>
      <c r="G99" s="155">
        <f>F99+G98</f>
        <v>-9576203.7910570335</v>
      </c>
      <c r="H99" s="155">
        <f>G99+H98</f>
        <v>-312848.30781134404</v>
      </c>
      <c r="I99" s="155"/>
      <c r="J99" s="220"/>
    </row>
    <row r="100" spans="2:10" x14ac:dyDescent="0.25">
      <c r="B100" s="150"/>
      <c r="C100" s="150"/>
      <c r="D100" s="150"/>
      <c r="E100" s="150"/>
      <c r="F100" s="150"/>
      <c r="G100" s="150"/>
      <c r="H100" s="150"/>
      <c r="I100" s="150"/>
      <c r="J100" s="150"/>
    </row>
    <row r="101" spans="2:10" x14ac:dyDescent="0.25">
      <c r="B101" s="221" t="s">
        <v>276</v>
      </c>
      <c r="C101" s="150"/>
      <c r="D101" s="222">
        <f>4+(-G99/H98)</f>
        <v>5.0337726764752988</v>
      </c>
      <c r="E101" s="150"/>
      <c r="F101" s="150"/>
      <c r="G101" s="150"/>
      <c r="H101" s="150"/>
      <c r="I101" s="150"/>
      <c r="J101" s="150"/>
    </row>
    <row r="102" spans="2:10" x14ac:dyDescent="0.25">
      <c r="B102" s="150"/>
      <c r="C102" s="150"/>
      <c r="D102" s="150"/>
      <c r="E102" s="150"/>
      <c r="F102" s="150"/>
      <c r="G102" s="150"/>
      <c r="H102" s="150"/>
      <c r="I102" s="150"/>
      <c r="J102" s="150"/>
    </row>
    <row r="103" spans="2:10" x14ac:dyDescent="0.25">
      <c r="B103" s="514" t="s">
        <v>420</v>
      </c>
      <c r="C103" s="514"/>
      <c r="D103" s="514"/>
      <c r="E103" s="514"/>
      <c r="F103" s="514"/>
      <c r="G103" s="514"/>
      <c r="H103" s="514"/>
      <c r="I103" s="514"/>
      <c r="J103" s="514"/>
    </row>
    <row r="105" spans="2:10" ht="18.75" x14ac:dyDescent="0.3">
      <c r="B105" s="479" t="s">
        <v>564</v>
      </c>
      <c r="C105" s="479"/>
      <c r="D105" s="479"/>
      <c r="E105" s="479"/>
      <c r="F105" s="479"/>
      <c r="G105" s="479"/>
      <c r="H105" s="479"/>
      <c r="I105" s="479"/>
    </row>
    <row r="107" spans="2:10" ht="15.75" x14ac:dyDescent="0.25">
      <c r="B107" s="212" t="s">
        <v>0</v>
      </c>
      <c r="C107" s="212" t="s">
        <v>2</v>
      </c>
      <c r="D107" s="212" t="s">
        <v>3</v>
      </c>
      <c r="E107" s="212" t="s">
        <v>4</v>
      </c>
      <c r="F107" s="212" t="s">
        <v>5</v>
      </c>
      <c r="G107" s="212" t="s">
        <v>6</v>
      </c>
      <c r="H107" s="212" t="s">
        <v>168</v>
      </c>
      <c r="I107" s="212" t="s">
        <v>167</v>
      </c>
    </row>
    <row r="108" spans="2:10" ht="15.75" x14ac:dyDescent="0.25">
      <c r="B108" s="213"/>
      <c r="C108" s="214"/>
      <c r="D108" s="214"/>
      <c r="E108" s="214"/>
      <c r="F108" s="214"/>
      <c r="G108" s="214"/>
      <c r="H108" s="214"/>
      <c r="I108" s="214"/>
    </row>
    <row r="109" spans="2:10" x14ac:dyDescent="0.25">
      <c r="B109" s="109" t="s">
        <v>332</v>
      </c>
      <c r="C109" s="156">
        <f>'6.Cons Profit &amp; Loss'!B40</f>
        <v>7338790.9986299723</v>
      </c>
      <c r="D109" s="156">
        <f>'6.Cons Profit &amp; Loss'!C40</f>
        <v>8153655.7435067296</v>
      </c>
      <c r="E109" s="156">
        <f>'6.Cons Profit &amp; Loss'!D40</f>
        <v>9444415.4750450253</v>
      </c>
      <c r="F109" s="156">
        <f>'6.Cons Profit &amp; Loss'!E40</f>
        <v>10843223.41543135</v>
      </c>
      <c r="G109" s="156">
        <f>'6.Cons Profit &amp; Loss'!F40</f>
        <v>12356461.432040662</v>
      </c>
      <c r="H109" s="156">
        <f>'6.Cons Profit &amp; Loss'!G40</f>
        <v>13883597.364877641</v>
      </c>
      <c r="I109" s="156">
        <f>'6.Cons Profit &amp; Loss'!H40</f>
        <v>15527807.527391165</v>
      </c>
    </row>
    <row r="110" spans="2:10" x14ac:dyDescent="0.25">
      <c r="B110" s="113" t="s">
        <v>1</v>
      </c>
      <c r="C110" s="223">
        <f t="shared" ref="C110:I110" si="11">SUM(C109:C109)</f>
        <v>7338790.9986299723</v>
      </c>
      <c r="D110" s="223">
        <f t="shared" si="11"/>
        <v>8153655.7435067296</v>
      </c>
      <c r="E110" s="223">
        <f t="shared" si="11"/>
        <v>9444415.4750450253</v>
      </c>
      <c r="F110" s="223">
        <f t="shared" si="11"/>
        <v>10843223.41543135</v>
      </c>
      <c r="G110" s="223">
        <f t="shared" si="11"/>
        <v>12356461.432040662</v>
      </c>
      <c r="H110" s="223">
        <f t="shared" si="11"/>
        <v>13883597.364877641</v>
      </c>
      <c r="I110" s="223">
        <f t="shared" si="11"/>
        <v>15527807.527391165</v>
      </c>
    </row>
    <row r="111" spans="2:10" x14ac:dyDescent="0.25">
      <c r="B111" s="109"/>
      <c r="C111" s="109"/>
      <c r="D111" s="109"/>
      <c r="E111" s="109"/>
      <c r="F111" s="109"/>
      <c r="G111" s="109"/>
      <c r="H111" s="109"/>
      <c r="I111" s="109"/>
    </row>
    <row r="112" spans="2:10" x14ac:dyDescent="0.25">
      <c r="B112" s="133" t="s">
        <v>277</v>
      </c>
      <c r="C112" s="155">
        <f>'8.Cash Flow '!C25+'8.Cash Flow '!C26</f>
        <v>3164703.0743493577</v>
      </c>
      <c r="D112" s="155">
        <f>'8.Cash Flow '!D25+'8.Cash Flow '!D26</f>
        <v>4717870.7544667162</v>
      </c>
      <c r="E112" s="155">
        <f>'8.Cash Flow '!E25+'8.Cash Flow '!E26</f>
        <v>4717870.7544667162</v>
      </c>
      <c r="F112" s="155">
        <f>'8.Cash Flow '!F25+'8.Cash Flow '!F26</f>
        <v>4717870.7544667153</v>
      </c>
      <c r="G112" s="155">
        <f>'8.Cash Flow '!G25+'8.Cash Flow '!G26</f>
        <v>0</v>
      </c>
      <c r="H112" s="155">
        <f>'8.Cash Flow '!H25+'8.Cash Flow '!H26</f>
        <v>0</v>
      </c>
      <c r="I112" s="155">
        <f>'8.Cash Flow '!I25+'8.Cash Flow '!I26</f>
        <v>0</v>
      </c>
    </row>
    <row r="113" spans="2:18" x14ac:dyDescent="0.25">
      <c r="B113" s="109"/>
      <c r="C113" s="109"/>
      <c r="D113" s="109"/>
      <c r="E113" s="109"/>
      <c r="F113" s="109"/>
      <c r="G113" s="109"/>
      <c r="H113" s="109"/>
      <c r="I113" s="109"/>
    </row>
    <row r="114" spans="2:18" x14ac:dyDescent="0.25">
      <c r="B114" s="114" t="s">
        <v>330</v>
      </c>
      <c r="C114" s="220">
        <f>C110/C112</f>
        <v>2.3189508861392247</v>
      </c>
      <c r="D114" s="220">
        <f t="shared" ref="D114:F114" si="12">D110/D112</f>
        <v>1.7282490699405302</v>
      </c>
      <c r="E114" s="220">
        <f t="shared" si="12"/>
        <v>2.0018385340682299</v>
      </c>
      <c r="F114" s="220">
        <f t="shared" si="12"/>
        <v>2.2983298991744032</v>
      </c>
      <c r="G114" s="220"/>
      <c r="H114" s="220"/>
      <c r="I114" s="220"/>
    </row>
    <row r="115" spans="2:18" x14ac:dyDescent="0.25">
      <c r="B115" s="150"/>
      <c r="C115" s="150"/>
      <c r="D115" s="150"/>
      <c r="E115" s="150"/>
      <c r="F115" s="150"/>
      <c r="G115" s="150"/>
      <c r="H115" s="150"/>
      <c r="I115" s="150"/>
    </row>
    <row r="116" spans="2:18" x14ac:dyDescent="0.25">
      <c r="B116" s="150" t="s">
        <v>331</v>
      </c>
      <c r="C116" s="224">
        <f>AVERAGE(C114:I114)</f>
        <v>2.0868420973305968</v>
      </c>
      <c r="D116" s="150"/>
      <c r="E116" s="150"/>
      <c r="F116" s="150"/>
      <c r="G116" s="150"/>
      <c r="H116" s="150"/>
      <c r="I116" s="150"/>
    </row>
    <row r="118" spans="2:18" ht="29.65" customHeight="1" x14ac:dyDescent="0.25">
      <c r="B118" s="488" t="s">
        <v>421</v>
      </c>
      <c r="C118" s="488"/>
      <c r="D118" s="488"/>
      <c r="E118" s="488"/>
      <c r="F118" s="488"/>
      <c r="G118" s="488"/>
      <c r="H118" s="488"/>
      <c r="I118" s="488"/>
      <c r="J118" s="488"/>
    </row>
    <row r="120" spans="2:18" ht="21" x14ac:dyDescent="0.35">
      <c r="B120" s="522" t="s">
        <v>565</v>
      </c>
      <c r="C120" s="523"/>
      <c r="D120" s="523"/>
      <c r="E120" s="523"/>
      <c r="F120" s="523"/>
      <c r="G120" s="523"/>
      <c r="H120" s="523"/>
      <c r="I120" s="523"/>
      <c r="K120" s="512"/>
      <c r="L120" s="512"/>
      <c r="M120" s="512"/>
      <c r="N120" s="512"/>
      <c r="O120" s="512"/>
      <c r="P120" s="512"/>
      <c r="Q120" s="512"/>
      <c r="R120" s="512"/>
    </row>
    <row r="121" spans="2:18" x14ac:dyDescent="0.25">
      <c r="B121" s="106" t="s">
        <v>342</v>
      </c>
      <c r="C121" s="107" t="s">
        <v>2</v>
      </c>
      <c r="D121" s="107" t="s">
        <v>3</v>
      </c>
      <c r="E121" s="107" t="s">
        <v>4</v>
      </c>
      <c r="F121" s="107" t="s">
        <v>5</v>
      </c>
      <c r="G121" s="107" t="s">
        <v>6</v>
      </c>
      <c r="H121" s="107" t="s">
        <v>168</v>
      </c>
      <c r="I121" s="107" t="s">
        <v>167</v>
      </c>
    </row>
    <row r="122" spans="2:18" x14ac:dyDescent="0.25">
      <c r="B122" s="225" t="str">
        <f>'6.Cons Profit &amp; Loss'!A8</f>
        <v>Faclitiy 1 - Cleaning &amp; Grading</v>
      </c>
      <c r="C122" s="226">
        <f>'6.Cons Profit &amp; Loss'!B8*(1+$M$123)</f>
        <v>62427000.215868734</v>
      </c>
      <c r="D122" s="226">
        <f>'6.Cons Profit &amp; Loss'!C8*(1+$M$123)</f>
        <v>72103185.24932839</v>
      </c>
      <c r="E122" s="226">
        <f>'6.Cons Profit &amp; Loss'!D8*(1+$M$123)</f>
        <v>80296729.027661175</v>
      </c>
      <c r="F122" s="226">
        <f>'6.Cons Profit &amp; Loss'!E8*(1+$M$123)</f>
        <v>89129369.220703915</v>
      </c>
      <c r="G122" s="226">
        <f>'6.Cons Profit &amp; Loss'!F8*(1+$M$123)</f>
        <v>98644531.610481754</v>
      </c>
      <c r="H122" s="226">
        <f>'6.Cons Profit &amp; Loss'!G8*(1+$M$123)</f>
        <v>108888386.81618567</v>
      </c>
      <c r="I122" s="226">
        <f>'6.Cons Profit &amp; Loss'!H8*(1+$M$123)</f>
        <v>119910016.21343371</v>
      </c>
    </row>
    <row r="123" spans="2:18" x14ac:dyDescent="0.25">
      <c r="B123" s="225" t="str">
        <f>'6.Cons Profit &amp; Loss'!A9</f>
        <v>Faclitiy 2 - Processing Unit- Dal Mill</v>
      </c>
      <c r="C123" s="226">
        <f>'6.Cons Profit &amp; Loss'!B9*(1+$M$123)</f>
        <v>72671705.762040004</v>
      </c>
      <c r="D123" s="226">
        <f>'6.Cons Profit &amp; Loss'!C9*(1+$M$123)</f>
        <v>85461925.976159051</v>
      </c>
      <c r="E123" s="226">
        <f>'6.Cons Profit &amp; Loss'!D9*(1+$M$123)</f>
        <v>99349488.947284907</v>
      </c>
      <c r="F123" s="226">
        <f>'6.Cons Profit &amp; Loss'!E9*(1+$M$123)</f>
        <v>114412153.40058297</v>
      </c>
      <c r="G123" s="226">
        <f>'6.Cons Profit &amp; Loss'!F9*(1+$M$123)</f>
        <v>130732710.57684261</v>
      </c>
      <c r="H123" s="226">
        <f>'6.Cons Profit &amp; Loss'!G9*(1+$M$123)</f>
        <v>148399293.08722678</v>
      </c>
      <c r="I123" s="226">
        <f>'6.Cons Profit &amp; Loss'!H9*(1+$M$123)</f>
        <v>167505702.07220721</v>
      </c>
      <c r="L123" s="119" t="s">
        <v>362</v>
      </c>
      <c r="M123" s="227">
        <v>0.05</v>
      </c>
    </row>
    <row r="124" spans="2:18" x14ac:dyDescent="0.25">
      <c r="B124" s="225" t="str">
        <f>'6.Cons Profit &amp; Loss'!A10</f>
        <v>Faclitiy 3 - Warehouse</v>
      </c>
      <c r="C124" s="226">
        <f>'6.Cons Profit &amp; Loss'!B10*(1+$M$123)</f>
        <v>1512000</v>
      </c>
      <c r="D124" s="226">
        <f>'6.Cons Profit &amp; Loss'!C10*(1+$M$123)</f>
        <v>1686825.0000000002</v>
      </c>
      <c r="E124" s="226">
        <f>'6.Cons Profit &amp; Loss'!D10*(1+$M$123)</f>
        <v>1875352.5000000002</v>
      </c>
      <c r="F124" s="226">
        <f>'6.Cons Profit &amp; Loss'!E10*(1+$M$123)</f>
        <v>2078515.6875000009</v>
      </c>
      <c r="G124" s="226">
        <f>'6.Cons Profit &amp; Loss'!F10*(1+$M$123)</f>
        <v>2297306.8125000009</v>
      </c>
      <c r="H124" s="226">
        <f>'6.Cons Profit &amp; Loss'!G10*(1+$M$123)</f>
        <v>2412172.1531250016</v>
      </c>
      <c r="I124" s="226">
        <f>'6.Cons Profit &amp; Loss'!H10*(1+$M$123)</f>
        <v>2532780.7607812518</v>
      </c>
      <c r="L124" s="119" t="s">
        <v>363</v>
      </c>
      <c r="M124" s="227">
        <v>0.05</v>
      </c>
    </row>
    <row r="125" spans="2:18" x14ac:dyDescent="0.25">
      <c r="B125" s="225" t="str">
        <f>'6.Cons Profit &amp; Loss'!A11</f>
        <v xml:space="preserve">Faclitiy 4 - Custom Hiring </v>
      </c>
      <c r="C125" s="226">
        <f>'6.Cons Profit &amp; Loss'!B11*(1+$M$123)</f>
        <v>0</v>
      </c>
      <c r="D125" s="226">
        <f>'6.Cons Profit &amp; Loss'!C11*(1+$M$123)</f>
        <v>0</v>
      </c>
      <c r="E125" s="226">
        <f>'6.Cons Profit &amp; Loss'!D11*(1+$M$123)</f>
        <v>0</v>
      </c>
      <c r="F125" s="226">
        <f>'6.Cons Profit &amp; Loss'!E11*(1+$M$123)</f>
        <v>0</v>
      </c>
      <c r="G125" s="226">
        <f>'6.Cons Profit &amp; Loss'!F11*(1+$M$123)</f>
        <v>0</v>
      </c>
      <c r="H125" s="226">
        <f>'6.Cons Profit &amp; Loss'!G11*(1+$M$123)</f>
        <v>0</v>
      </c>
      <c r="I125" s="226">
        <f>'6.Cons Profit &amp; Loss'!H11*(1+$M$123)</f>
        <v>0</v>
      </c>
    </row>
    <row r="126" spans="2:18" x14ac:dyDescent="0.25">
      <c r="B126" s="225" t="str">
        <f>'6.Cons Profit &amp; Loss'!A12</f>
        <v>Faclitiy 5 - Agri Input Centre</v>
      </c>
      <c r="C126" s="226">
        <f>'6.Cons Profit &amp; Loss'!B12*(1+$M$123)</f>
        <v>0</v>
      </c>
      <c r="D126" s="226">
        <f>'6.Cons Profit &amp; Loss'!C12*(1+$M$123)</f>
        <v>0</v>
      </c>
      <c r="E126" s="226">
        <f>'6.Cons Profit &amp; Loss'!D12*(1+$M$123)</f>
        <v>0</v>
      </c>
      <c r="F126" s="226">
        <f>'6.Cons Profit &amp; Loss'!E12*(1+$M$123)</f>
        <v>0</v>
      </c>
      <c r="G126" s="226">
        <f>'6.Cons Profit &amp; Loss'!F12*(1+$M$123)</f>
        <v>0</v>
      </c>
      <c r="H126" s="226">
        <f>'6.Cons Profit &amp; Loss'!G12*(1+$M$123)</f>
        <v>0</v>
      </c>
      <c r="I126" s="226">
        <f>'6.Cons Profit &amp; Loss'!H12*(1+$M$123)</f>
        <v>0</v>
      </c>
    </row>
    <row r="127" spans="2:18" x14ac:dyDescent="0.25">
      <c r="B127" s="225" t="str">
        <f>'6.Cons Profit &amp; Loss'!A13</f>
        <v>Facility 6 - Processing Unit - Horti Commodity</v>
      </c>
      <c r="C127" s="226">
        <f>'6.Cons Profit &amp; Loss'!B13*(1+$M$123)</f>
        <v>0</v>
      </c>
      <c r="D127" s="226">
        <f>'6.Cons Profit &amp; Loss'!C13*(1+$M$123)</f>
        <v>0</v>
      </c>
      <c r="E127" s="226">
        <f>'6.Cons Profit &amp; Loss'!D13*(1+$M$123)</f>
        <v>0</v>
      </c>
      <c r="F127" s="226">
        <f>'6.Cons Profit &amp; Loss'!E13*(1+$M$123)</f>
        <v>0</v>
      </c>
      <c r="G127" s="226">
        <f>'6.Cons Profit &amp; Loss'!F13*(1+$M$123)</f>
        <v>0</v>
      </c>
      <c r="H127" s="226">
        <f>'6.Cons Profit &amp; Loss'!G13*(1+$M$123)</f>
        <v>0</v>
      </c>
      <c r="I127" s="226">
        <f>'6.Cons Profit &amp; Loss'!H13*(1+$M$123)</f>
        <v>0</v>
      </c>
    </row>
    <row r="128" spans="2:18" x14ac:dyDescent="0.25">
      <c r="B128" s="225">
        <f>'6.Cons Profit &amp; Loss'!A14</f>
        <v>0</v>
      </c>
      <c r="C128" s="226">
        <f>'6.Cons Profit &amp; Loss'!B14*(1+$M$123)</f>
        <v>0</v>
      </c>
      <c r="D128" s="226">
        <f>'6.Cons Profit &amp; Loss'!C14*(1+$M$123)</f>
        <v>0</v>
      </c>
      <c r="E128" s="226">
        <f>'6.Cons Profit &amp; Loss'!D14*(1+$M$123)</f>
        <v>0</v>
      </c>
      <c r="F128" s="226">
        <f>'6.Cons Profit &amp; Loss'!E14*(1+$M$123)</f>
        <v>0</v>
      </c>
      <c r="G128" s="226">
        <f>'6.Cons Profit &amp; Loss'!F14*(1+$M$123)</f>
        <v>0</v>
      </c>
      <c r="H128" s="226">
        <f>'6.Cons Profit &amp; Loss'!G14*(1+$M$123)</f>
        <v>0</v>
      </c>
      <c r="I128" s="226">
        <f>'6.Cons Profit &amp; Loss'!H14*(1+$M$123)</f>
        <v>0</v>
      </c>
    </row>
    <row r="129" spans="2:9" x14ac:dyDescent="0.25">
      <c r="B129" s="225" t="s">
        <v>343</v>
      </c>
      <c r="C129" s="226">
        <f>SUM(C122:C128)</f>
        <v>136610705.97790873</v>
      </c>
      <c r="D129" s="226">
        <f t="shared" ref="D129:I129" si="13">SUM(D122:D128)</f>
        <v>159251936.22548744</v>
      </c>
      <c r="E129" s="226">
        <f t="shared" si="13"/>
        <v>181521570.47494608</v>
      </c>
      <c r="F129" s="226">
        <f t="shared" si="13"/>
        <v>205620038.30878687</v>
      </c>
      <c r="G129" s="226">
        <f t="shared" si="13"/>
        <v>231674548.99982435</v>
      </c>
      <c r="H129" s="226">
        <f t="shared" si="13"/>
        <v>259699852.05653745</v>
      </c>
      <c r="I129" s="226">
        <f t="shared" si="13"/>
        <v>289948499.04642218</v>
      </c>
    </row>
    <row r="130" spans="2:9" x14ac:dyDescent="0.25">
      <c r="B130" s="225" t="s">
        <v>344</v>
      </c>
      <c r="C130" s="226"/>
      <c r="D130" s="226"/>
      <c r="E130" s="226"/>
      <c r="F130" s="226"/>
      <c r="G130" s="226"/>
      <c r="H130" s="226"/>
      <c r="I130" s="226"/>
    </row>
    <row r="131" spans="2:9" x14ac:dyDescent="0.25">
      <c r="B131" s="225" t="s">
        <v>345</v>
      </c>
      <c r="C131" s="226">
        <f>'6.Cons Profit &amp; Loss'!B36</f>
        <v>2430800</v>
      </c>
      <c r="D131" s="226">
        <f>'6.Cons Profit &amp; Loss'!C36</f>
        <v>2552340</v>
      </c>
      <c r="E131" s="226">
        <f>'6.Cons Profit &amp; Loss'!D36</f>
        <v>2679957</v>
      </c>
      <c r="F131" s="226">
        <f>'6.Cons Profit &amp; Loss'!E36</f>
        <v>2813954.8500000006</v>
      </c>
      <c r="G131" s="226">
        <f>'6.Cons Profit &amp; Loss'!F36</f>
        <v>2954652.5925000003</v>
      </c>
      <c r="H131" s="226">
        <f>'6.Cons Profit &amp; Loss'!G36</f>
        <v>3102385.2221250003</v>
      </c>
      <c r="I131" s="226">
        <f>'6.Cons Profit &amp; Loss'!H36</f>
        <v>3257504.4832312511</v>
      </c>
    </row>
    <row r="132" spans="2:9" x14ac:dyDescent="0.25">
      <c r="B132" s="225" t="s">
        <v>305</v>
      </c>
      <c r="C132" s="226">
        <f>'6.Cons Profit &amp; Loss'!B25*(1+M123)</f>
        <v>126352635.42934726</v>
      </c>
      <c r="D132" s="226">
        <f>'6.Cons Profit &amp; Loss'!C25*(1+N123)</f>
        <v>140962514.94743368</v>
      </c>
      <c r="E132" s="226">
        <f>'6.Cons Profit &amp; Loss'!D25*(1+O123)</f>
        <v>160753313.69157028</v>
      </c>
      <c r="F132" s="226">
        <f>'6.Cons Profit &amp; Loss'!E25*(1+P123)</f>
        <v>182171429.647699</v>
      </c>
      <c r="G132" s="226">
        <f>'6.Cons Profit &amp; Loss'!F25*(1+Q123)</f>
        <v>205331313.59433967</v>
      </c>
      <c r="H132" s="226">
        <f>'6.Cons Profit &amp; Loss'!G25*(1+R123)</f>
        <v>230347209.84779492</v>
      </c>
      <c r="I132" s="226">
        <f>'6.Cons Profit &amp; Loss'!H25*(1+S123)</f>
        <v>257356115.6526368</v>
      </c>
    </row>
    <row r="133" spans="2:9" x14ac:dyDescent="0.25">
      <c r="B133" s="225" t="s">
        <v>346</v>
      </c>
      <c r="C133" s="226">
        <f t="shared" ref="C133:I133" si="14">SUM(C131:C132)</f>
        <v>128783435.42934726</v>
      </c>
      <c r="D133" s="226">
        <f t="shared" si="14"/>
        <v>143514854.94743368</v>
      </c>
      <c r="E133" s="226">
        <f t="shared" si="14"/>
        <v>163433270.69157028</v>
      </c>
      <c r="F133" s="226">
        <f t="shared" si="14"/>
        <v>184985384.49769899</v>
      </c>
      <c r="G133" s="226">
        <f t="shared" si="14"/>
        <v>208285966.18683967</v>
      </c>
      <c r="H133" s="226">
        <f t="shared" si="14"/>
        <v>233449595.06991991</v>
      </c>
      <c r="I133" s="226">
        <f t="shared" si="14"/>
        <v>260613620.13586804</v>
      </c>
    </row>
    <row r="134" spans="2:9" x14ac:dyDescent="0.25">
      <c r="B134" s="228" t="s">
        <v>347</v>
      </c>
      <c r="C134" s="229">
        <f t="shared" ref="C134:I134" si="15">+C129-C133</f>
        <v>7827270.5485614687</v>
      </c>
      <c r="D134" s="229">
        <f t="shared" si="15"/>
        <v>15737081.278053761</v>
      </c>
      <c r="E134" s="229">
        <f t="shared" si="15"/>
        <v>18088299.7833758</v>
      </c>
      <c r="F134" s="229">
        <f t="shared" si="15"/>
        <v>20634653.811087877</v>
      </c>
      <c r="G134" s="229">
        <f t="shared" si="15"/>
        <v>23388582.812984675</v>
      </c>
      <c r="H134" s="229">
        <f t="shared" si="15"/>
        <v>26250256.986617535</v>
      </c>
      <c r="I134" s="229">
        <f t="shared" si="15"/>
        <v>29334878.910554141</v>
      </c>
    </row>
    <row r="135" spans="2:9" x14ac:dyDescent="0.25">
      <c r="B135" s="230"/>
      <c r="C135" s="231"/>
      <c r="D135" s="231"/>
      <c r="E135" s="231"/>
      <c r="F135" s="231"/>
      <c r="G135" s="231"/>
      <c r="H135" s="231"/>
      <c r="I135" s="231"/>
    </row>
    <row r="136" spans="2:9" x14ac:dyDescent="0.25">
      <c r="B136" s="106" t="s">
        <v>348</v>
      </c>
      <c r="C136" s="107" t="s">
        <v>2</v>
      </c>
      <c r="D136" s="107" t="s">
        <v>3</v>
      </c>
      <c r="E136" s="107" t="s">
        <v>4</v>
      </c>
      <c r="F136" s="107" t="s">
        <v>5</v>
      </c>
      <c r="G136" s="107" t="s">
        <v>6</v>
      </c>
      <c r="H136" s="107" t="s">
        <v>168</v>
      </c>
      <c r="I136" s="107" t="s">
        <v>167</v>
      </c>
    </row>
    <row r="137" spans="2:9" x14ac:dyDescent="0.25">
      <c r="B137" s="225" t="str">
        <f t="shared" ref="B137:B143" si="16">B122</f>
        <v>Faclitiy 1 - Cleaning &amp; Grading</v>
      </c>
      <c r="C137" s="232">
        <f>'6.Cons Profit &amp; Loss'!B8</f>
        <v>59454285.919874981</v>
      </c>
      <c r="D137" s="232">
        <f>'6.Cons Profit &amp; Loss'!C8</f>
        <v>68669700.237455606</v>
      </c>
      <c r="E137" s="232">
        <f>'6.Cons Profit &amp; Loss'!D8</f>
        <v>76473075.26443921</v>
      </c>
      <c r="F137" s="232">
        <f>'6.Cons Profit &amp; Loss'!E8</f>
        <v>84885113.543527529</v>
      </c>
      <c r="G137" s="232">
        <f>'6.Cons Profit &amp; Loss'!F8</f>
        <v>93947172.962363571</v>
      </c>
      <c r="H137" s="232">
        <f>'6.Cons Profit &amp; Loss'!G8</f>
        <v>103703225.53922445</v>
      </c>
      <c r="I137" s="232">
        <f>'6.Cons Profit &amp; Loss'!H8</f>
        <v>114200015.44136544</v>
      </c>
    </row>
    <row r="138" spans="2:9" x14ac:dyDescent="0.25">
      <c r="B138" s="225" t="str">
        <f t="shared" si="16"/>
        <v>Faclitiy 2 - Processing Unit- Dal Mill</v>
      </c>
      <c r="C138" s="232">
        <f>'6.Cons Profit &amp; Loss'!B9</f>
        <v>69211148.344799995</v>
      </c>
      <c r="D138" s="232">
        <f>'6.Cons Profit &amp; Loss'!C9</f>
        <v>81392310.453484803</v>
      </c>
      <c r="E138" s="232">
        <f>'6.Cons Profit &amp; Loss'!D9</f>
        <v>94618560.902176097</v>
      </c>
      <c r="F138" s="232">
        <f>'6.Cons Profit &amp; Loss'!E9</f>
        <v>108963955.61960283</v>
      </c>
      <c r="G138" s="232">
        <f>'6.Cons Profit &amp; Loss'!F9</f>
        <v>124507343.40651676</v>
      </c>
      <c r="H138" s="232">
        <f>'6.Cons Profit &amp; Loss'!G9</f>
        <v>141332660.08307311</v>
      </c>
      <c r="I138" s="232">
        <f>'6.Cons Profit &amp; Loss'!H9</f>
        <v>159529240.06876877</v>
      </c>
    </row>
    <row r="139" spans="2:9" x14ac:dyDescent="0.25">
      <c r="B139" s="225" t="str">
        <f t="shared" si="16"/>
        <v>Faclitiy 3 - Warehouse</v>
      </c>
      <c r="C139" s="232">
        <f>'6.Cons Profit &amp; Loss'!B10</f>
        <v>1440000</v>
      </c>
      <c r="D139" s="232">
        <f>'6.Cons Profit &amp; Loss'!C10</f>
        <v>1606500.0000000002</v>
      </c>
      <c r="E139" s="232">
        <f>'6.Cons Profit &amp; Loss'!D10</f>
        <v>1786050.0000000002</v>
      </c>
      <c r="F139" s="232">
        <f>'6.Cons Profit &amp; Loss'!E10</f>
        <v>1979538.7500000007</v>
      </c>
      <c r="G139" s="232">
        <f>'6.Cons Profit &amp; Loss'!F10</f>
        <v>2187911.2500000009</v>
      </c>
      <c r="H139" s="232">
        <f>'6.Cons Profit &amp; Loss'!G10</f>
        <v>2297306.8125000014</v>
      </c>
      <c r="I139" s="232">
        <f>'6.Cons Profit &amp; Loss'!H10</f>
        <v>2412172.1531250016</v>
      </c>
    </row>
    <row r="140" spans="2:9" x14ac:dyDescent="0.25">
      <c r="B140" s="225" t="str">
        <f t="shared" si="16"/>
        <v xml:space="preserve">Faclitiy 4 - Custom Hiring </v>
      </c>
      <c r="C140" s="232">
        <f>'6.Cons Profit &amp; Loss'!B11</f>
        <v>0</v>
      </c>
      <c r="D140" s="232">
        <f>'6.Cons Profit &amp; Loss'!C11</f>
        <v>0</v>
      </c>
      <c r="E140" s="232">
        <f>'6.Cons Profit &amp; Loss'!D11</f>
        <v>0</v>
      </c>
      <c r="F140" s="232">
        <f>'6.Cons Profit &amp; Loss'!E11</f>
        <v>0</v>
      </c>
      <c r="G140" s="232">
        <f>'6.Cons Profit &amp; Loss'!F11</f>
        <v>0</v>
      </c>
      <c r="H140" s="232">
        <f>'6.Cons Profit &amp; Loss'!G11</f>
        <v>0</v>
      </c>
      <c r="I140" s="232">
        <f>'6.Cons Profit &amp; Loss'!H11</f>
        <v>0</v>
      </c>
    </row>
    <row r="141" spans="2:9" x14ac:dyDescent="0.25">
      <c r="B141" s="225" t="str">
        <f t="shared" si="16"/>
        <v>Faclitiy 5 - Agri Input Centre</v>
      </c>
      <c r="C141" s="232">
        <f>'6.Cons Profit &amp; Loss'!B12</f>
        <v>0</v>
      </c>
      <c r="D141" s="232">
        <f>'6.Cons Profit &amp; Loss'!C12</f>
        <v>0</v>
      </c>
      <c r="E141" s="232">
        <f>'6.Cons Profit &amp; Loss'!D12</f>
        <v>0</v>
      </c>
      <c r="F141" s="232">
        <f>'6.Cons Profit &amp; Loss'!E12</f>
        <v>0</v>
      </c>
      <c r="G141" s="232">
        <f>'6.Cons Profit &amp; Loss'!F12</f>
        <v>0</v>
      </c>
      <c r="H141" s="232">
        <f>'6.Cons Profit &amp; Loss'!G12</f>
        <v>0</v>
      </c>
      <c r="I141" s="232">
        <f>'6.Cons Profit &amp; Loss'!H12</f>
        <v>0</v>
      </c>
    </row>
    <row r="142" spans="2:9" x14ac:dyDescent="0.25">
      <c r="B142" s="225" t="str">
        <f t="shared" si="16"/>
        <v>Facility 6 - Processing Unit - Horti Commodity</v>
      </c>
      <c r="C142" s="232">
        <f>'6.Cons Profit &amp; Loss'!B13</f>
        <v>0</v>
      </c>
      <c r="D142" s="232">
        <f>'6.Cons Profit &amp; Loss'!C13</f>
        <v>0</v>
      </c>
      <c r="E142" s="232">
        <f>'6.Cons Profit &amp; Loss'!D13</f>
        <v>0</v>
      </c>
      <c r="F142" s="232">
        <f>'6.Cons Profit &amp; Loss'!E13</f>
        <v>0</v>
      </c>
      <c r="G142" s="232">
        <f>'6.Cons Profit &amp; Loss'!F13</f>
        <v>0</v>
      </c>
      <c r="H142" s="232">
        <f>'6.Cons Profit &amp; Loss'!G13</f>
        <v>0</v>
      </c>
      <c r="I142" s="232">
        <f>'6.Cons Profit &amp; Loss'!H13</f>
        <v>0</v>
      </c>
    </row>
    <row r="143" spans="2:9" x14ac:dyDescent="0.25">
      <c r="B143" s="225">
        <f t="shared" si="16"/>
        <v>0</v>
      </c>
      <c r="C143" s="232">
        <f>'6.Cons Profit &amp; Loss'!B14</f>
        <v>0</v>
      </c>
      <c r="D143" s="232">
        <f>'6.Cons Profit &amp; Loss'!C14</f>
        <v>0</v>
      </c>
      <c r="E143" s="232">
        <f>'6.Cons Profit &amp; Loss'!D14</f>
        <v>0</v>
      </c>
      <c r="F143" s="232">
        <f>'6.Cons Profit &amp; Loss'!E14</f>
        <v>0</v>
      </c>
      <c r="G143" s="232">
        <f>'6.Cons Profit &amp; Loss'!F14</f>
        <v>0</v>
      </c>
      <c r="H143" s="232">
        <f>'6.Cons Profit &amp; Loss'!G14</f>
        <v>0</v>
      </c>
      <c r="I143" s="232">
        <f>'6.Cons Profit &amp; Loss'!H14</f>
        <v>0</v>
      </c>
    </row>
    <row r="144" spans="2:9" x14ac:dyDescent="0.25">
      <c r="B144" s="225" t="s">
        <v>343</v>
      </c>
      <c r="C144" s="232">
        <f>SUM(C137:C143)</f>
        <v>130105434.26467498</v>
      </c>
      <c r="D144" s="232">
        <f t="shared" ref="D144:I144" si="17">SUM(D137:D143)</f>
        <v>151668510.69094041</v>
      </c>
      <c r="E144" s="232">
        <f t="shared" si="17"/>
        <v>172877686.16661531</v>
      </c>
      <c r="F144" s="232">
        <f t="shared" si="17"/>
        <v>195828607.91313034</v>
      </c>
      <c r="G144" s="232">
        <f t="shared" si="17"/>
        <v>220642427.61888033</v>
      </c>
      <c r="H144" s="232">
        <f t="shared" si="17"/>
        <v>247333192.43479756</v>
      </c>
      <c r="I144" s="232">
        <f t="shared" si="17"/>
        <v>276141427.66325921</v>
      </c>
    </row>
    <row r="145" spans="2:15" x14ac:dyDescent="0.25">
      <c r="B145" s="225" t="s">
        <v>344</v>
      </c>
      <c r="C145" s="233"/>
      <c r="D145" s="232"/>
      <c r="E145" s="232"/>
      <c r="F145" s="232"/>
      <c r="G145" s="232"/>
      <c r="H145" s="232"/>
      <c r="I145" s="232"/>
    </row>
    <row r="146" spans="2:15" x14ac:dyDescent="0.25">
      <c r="B146" s="225" t="s">
        <v>345</v>
      </c>
      <c r="C146" s="234">
        <f>'6.Cons Profit &amp; Loss'!B36</f>
        <v>2430800</v>
      </c>
      <c r="D146" s="234">
        <f>'6.Cons Profit &amp; Loss'!C36</f>
        <v>2552340</v>
      </c>
      <c r="E146" s="234">
        <f>'6.Cons Profit &amp; Loss'!D36</f>
        <v>2679957</v>
      </c>
      <c r="F146" s="234">
        <f>'6.Cons Profit &amp; Loss'!E36</f>
        <v>2813954.8500000006</v>
      </c>
      <c r="G146" s="234">
        <f>'6.Cons Profit &amp; Loss'!F36</f>
        <v>2954652.5925000003</v>
      </c>
      <c r="H146" s="234">
        <f>'6.Cons Profit &amp; Loss'!G36</f>
        <v>3102385.2221250003</v>
      </c>
      <c r="I146" s="234">
        <f>'6.Cons Profit &amp; Loss'!H36</f>
        <v>3257504.4832312511</v>
      </c>
    </row>
    <row r="147" spans="2:15" x14ac:dyDescent="0.25">
      <c r="B147" s="225" t="s">
        <v>305</v>
      </c>
      <c r="C147" s="234">
        <f>'6.Cons Profit &amp; Loss'!B25*(1+$M$124)</f>
        <v>126352635.42934726</v>
      </c>
      <c r="D147" s="234">
        <f>'6.Cons Profit &amp; Loss'!C25*(1+$M$124)</f>
        <v>148010640.69480538</v>
      </c>
      <c r="E147" s="234">
        <f>'6.Cons Profit &amp; Loss'!D25*(1+$M$124)</f>
        <v>168790979.37614879</v>
      </c>
      <c r="F147" s="234">
        <f>'6.Cons Profit &amp; Loss'!E25*(1+$M$124)</f>
        <v>191280001.13008395</v>
      </c>
      <c r="G147" s="234">
        <f>'6.Cons Profit &amp; Loss'!F25*(1+$M$124)</f>
        <v>215597879.27405667</v>
      </c>
      <c r="H147" s="234">
        <f>'6.Cons Profit &amp; Loss'!G25*(1+$M$124)</f>
        <v>241864570.34018469</v>
      </c>
      <c r="I147" s="234">
        <f>'6.Cons Profit &amp; Loss'!H25*(1+$M$124)</f>
        <v>270223921.43526864</v>
      </c>
    </row>
    <row r="148" spans="2:15" x14ac:dyDescent="0.25">
      <c r="B148" s="225" t="s">
        <v>346</v>
      </c>
      <c r="C148" s="234">
        <f t="shared" ref="C148:I148" si="18">SUM(C146:C147)</f>
        <v>128783435.42934726</v>
      </c>
      <c r="D148" s="234">
        <f t="shared" si="18"/>
        <v>150562980.69480538</v>
      </c>
      <c r="E148" s="234">
        <f t="shared" si="18"/>
        <v>171470936.37614879</v>
      </c>
      <c r="F148" s="234">
        <f t="shared" si="18"/>
        <v>194093955.98008394</v>
      </c>
      <c r="G148" s="234">
        <f t="shared" si="18"/>
        <v>218552531.86655667</v>
      </c>
      <c r="H148" s="234">
        <f t="shared" si="18"/>
        <v>244966955.56230968</v>
      </c>
      <c r="I148" s="234">
        <f t="shared" si="18"/>
        <v>273481425.91849989</v>
      </c>
    </row>
    <row r="149" spans="2:15" x14ac:dyDescent="0.25">
      <c r="B149" s="228" t="s">
        <v>347</v>
      </c>
      <c r="C149" s="433">
        <f t="shared" ref="C149:I149" si="19">+C144-C148</f>
        <v>1321998.8353277147</v>
      </c>
      <c r="D149" s="433">
        <f t="shared" si="19"/>
        <v>1105529.9961350262</v>
      </c>
      <c r="E149" s="433">
        <f t="shared" si="19"/>
        <v>1406749.7904665172</v>
      </c>
      <c r="F149" s="433">
        <f t="shared" si="19"/>
        <v>1734651.9330464005</v>
      </c>
      <c r="G149" s="433">
        <f t="shared" si="19"/>
        <v>2089895.7523236573</v>
      </c>
      <c r="H149" s="433">
        <f t="shared" si="19"/>
        <v>2366236.8724878728</v>
      </c>
      <c r="I149" s="433">
        <f t="shared" si="19"/>
        <v>2660001.7447593212</v>
      </c>
      <c r="N149" s="105"/>
      <c r="O149" s="122"/>
    </row>
    <row r="150" spans="2:15" x14ac:dyDescent="0.25">
      <c r="B150" s="230"/>
      <c r="C150" s="231"/>
      <c r="D150" s="231"/>
      <c r="E150" s="231"/>
      <c r="F150" s="231"/>
      <c r="G150" s="231"/>
      <c r="H150" s="231"/>
      <c r="I150" s="231"/>
    </row>
    <row r="151" spans="2:15" x14ac:dyDescent="0.25">
      <c r="B151" s="106" t="s">
        <v>349</v>
      </c>
      <c r="C151" s="107" t="s">
        <v>2</v>
      </c>
      <c r="D151" s="107" t="s">
        <v>3</v>
      </c>
      <c r="E151" s="107" t="s">
        <v>4</v>
      </c>
      <c r="F151" s="107" t="s">
        <v>5</v>
      </c>
      <c r="G151" s="107" t="s">
        <v>6</v>
      </c>
      <c r="H151" s="107" t="s">
        <v>168</v>
      </c>
      <c r="I151" s="107" t="s">
        <v>167</v>
      </c>
    </row>
    <row r="152" spans="2:15" x14ac:dyDescent="0.25">
      <c r="B152" s="225" t="str">
        <f t="shared" ref="B152:B158" si="20">B137</f>
        <v>Faclitiy 1 - Cleaning &amp; Grading</v>
      </c>
      <c r="C152" s="226">
        <f>'6.Cons Profit &amp; Loss'!B8*(1-$M$123)</f>
        <v>56481571.623881228</v>
      </c>
      <c r="D152" s="226">
        <f>'6.Cons Profit &amp; Loss'!C8*(1-$M$123)</f>
        <v>65236215.225582823</v>
      </c>
      <c r="E152" s="226">
        <f>'6.Cons Profit &amp; Loss'!D8*(1-$M$123)</f>
        <v>72649421.501217246</v>
      </c>
      <c r="F152" s="226">
        <f>'6.Cons Profit &amp; Loss'!E8*(1-$M$123)</f>
        <v>80640857.866351143</v>
      </c>
      <c r="G152" s="226">
        <f>'6.Cons Profit &amp; Loss'!F8*(1-$M$123)</f>
        <v>89249814.314245388</v>
      </c>
      <c r="H152" s="226">
        <f>'6.Cons Profit &amp; Loss'!G8*(1-$M$123)</f>
        <v>98518064.262263224</v>
      </c>
      <c r="I152" s="226">
        <f>'6.Cons Profit &amp; Loss'!H8*(1-$M$123)</f>
        <v>108490014.66929716</v>
      </c>
    </row>
    <row r="153" spans="2:15" x14ac:dyDescent="0.25">
      <c r="B153" s="225" t="str">
        <f t="shared" si="20"/>
        <v>Faclitiy 2 - Processing Unit- Dal Mill</v>
      </c>
      <c r="C153" s="226">
        <f>'6.Cons Profit &amp; Loss'!B9*(1-$M$123)</f>
        <v>65750590.927559994</v>
      </c>
      <c r="D153" s="226">
        <f>'6.Cons Profit &amp; Loss'!C9*(1-$M$123)</f>
        <v>77322694.930810556</v>
      </c>
      <c r="E153" s="226">
        <f>'6.Cons Profit &amp; Loss'!D9*(1-$M$123)</f>
        <v>89887632.857067287</v>
      </c>
      <c r="F153" s="226">
        <f>'6.Cons Profit &amp; Loss'!E9*(1-$M$123)</f>
        <v>103515757.83862269</v>
      </c>
      <c r="G153" s="226">
        <f>'6.Cons Profit &amp; Loss'!F9*(1-$M$123)</f>
        <v>118281976.23619092</v>
      </c>
      <c r="H153" s="226">
        <f>'6.Cons Profit &amp; Loss'!G9*(1-$M$123)</f>
        <v>134266027.07891944</v>
      </c>
      <c r="I153" s="226">
        <f>'6.Cons Profit &amp; Loss'!H9*(1-$M$123)</f>
        <v>151552778.06533033</v>
      </c>
    </row>
    <row r="154" spans="2:15" x14ac:dyDescent="0.25">
      <c r="B154" s="225" t="str">
        <f t="shared" si="20"/>
        <v>Faclitiy 3 - Warehouse</v>
      </c>
      <c r="C154" s="226">
        <f>'6.Cons Profit &amp; Loss'!B10*(1-$M$123)</f>
        <v>1368000</v>
      </c>
      <c r="D154" s="226">
        <f>'6.Cons Profit &amp; Loss'!C10*(1-$M$123)</f>
        <v>1526175.0000000002</v>
      </c>
      <c r="E154" s="226">
        <f>'6.Cons Profit &amp; Loss'!D10*(1-$M$123)</f>
        <v>1696747.5000000002</v>
      </c>
      <c r="F154" s="226">
        <f>'6.Cons Profit &amp; Loss'!E10*(1-$M$123)</f>
        <v>1880561.8125000005</v>
      </c>
      <c r="G154" s="226">
        <f>'6.Cons Profit &amp; Loss'!F10*(1-$M$123)</f>
        <v>2078515.6875000007</v>
      </c>
      <c r="H154" s="226">
        <f>'6.Cons Profit &amp; Loss'!G10*(1-$M$123)</f>
        <v>2182441.4718750012</v>
      </c>
      <c r="I154" s="226">
        <f>'6.Cons Profit &amp; Loss'!H10*(1-$M$123)</f>
        <v>2291563.5454687513</v>
      </c>
    </row>
    <row r="155" spans="2:15" x14ac:dyDescent="0.25">
      <c r="B155" s="225" t="str">
        <f t="shared" si="20"/>
        <v xml:space="preserve">Faclitiy 4 - Custom Hiring </v>
      </c>
      <c r="C155" s="226">
        <f>'6.Cons Profit &amp; Loss'!B11*(1-$M$123)</f>
        <v>0</v>
      </c>
      <c r="D155" s="226">
        <f>'6.Cons Profit &amp; Loss'!C11*(1-$M$123)</f>
        <v>0</v>
      </c>
      <c r="E155" s="226">
        <f>'6.Cons Profit &amp; Loss'!D11*(1-$M$123)</f>
        <v>0</v>
      </c>
      <c r="F155" s="226">
        <f>'6.Cons Profit &amp; Loss'!E11*(1-$M$123)</f>
        <v>0</v>
      </c>
      <c r="G155" s="226">
        <f>'6.Cons Profit &amp; Loss'!F11*(1-$M$123)</f>
        <v>0</v>
      </c>
      <c r="H155" s="226">
        <f>'6.Cons Profit &amp; Loss'!G11*(1-$M$123)</f>
        <v>0</v>
      </c>
      <c r="I155" s="226">
        <f>'6.Cons Profit &amp; Loss'!H11*(1-$M$123)</f>
        <v>0</v>
      </c>
    </row>
    <row r="156" spans="2:15" x14ac:dyDescent="0.25">
      <c r="B156" s="225" t="str">
        <f t="shared" si="20"/>
        <v>Faclitiy 5 - Agri Input Centre</v>
      </c>
      <c r="C156" s="226">
        <f>'6.Cons Profit &amp; Loss'!B12*(1-$M$123)</f>
        <v>0</v>
      </c>
      <c r="D156" s="226">
        <f>'6.Cons Profit &amp; Loss'!C12*(1-$M$123)</f>
        <v>0</v>
      </c>
      <c r="E156" s="226">
        <f>'6.Cons Profit &amp; Loss'!D12*(1-$M$123)</f>
        <v>0</v>
      </c>
      <c r="F156" s="226">
        <f>'6.Cons Profit &amp; Loss'!E12*(1-$M$123)</f>
        <v>0</v>
      </c>
      <c r="G156" s="226">
        <f>'6.Cons Profit &amp; Loss'!F12*(1-$M$123)</f>
        <v>0</v>
      </c>
      <c r="H156" s="226">
        <f>'6.Cons Profit &amp; Loss'!G12*(1-$M$123)</f>
        <v>0</v>
      </c>
      <c r="I156" s="226">
        <f>'6.Cons Profit &amp; Loss'!H12*(1-$M$123)</f>
        <v>0</v>
      </c>
    </row>
    <row r="157" spans="2:15" x14ac:dyDescent="0.25">
      <c r="B157" s="225" t="str">
        <f t="shared" si="20"/>
        <v>Facility 6 - Processing Unit - Horti Commodity</v>
      </c>
      <c r="C157" s="226">
        <f>'6.Cons Profit &amp; Loss'!B13*(1-$M$123)</f>
        <v>0</v>
      </c>
      <c r="D157" s="226">
        <f>'6.Cons Profit &amp; Loss'!C13*(1-$M$123)</f>
        <v>0</v>
      </c>
      <c r="E157" s="226">
        <f>'6.Cons Profit &amp; Loss'!D13*(1-$M$123)</f>
        <v>0</v>
      </c>
      <c r="F157" s="226">
        <f>'6.Cons Profit &amp; Loss'!E13*(1-$M$123)</f>
        <v>0</v>
      </c>
      <c r="G157" s="226">
        <f>'6.Cons Profit &amp; Loss'!F13*(1-$M$123)</f>
        <v>0</v>
      </c>
      <c r="H157" s="226">
        <f>'6.Cons Profit &amp; Loss'!G13*(1-$M$123)</f>
        <v>0</v>
      </c>
      <c r="I157" s="226">
        <f>'6.Cons Profit &amp; Loss'!H13*(1-$M$123)</f>
        <v>0</v>
      </c>
    </row>
    <row r="158" spans="2:15" x14ac:dyDescent="0.25">
      <c r="B158" s="225">
        <f t="shared" si="20"/>
        <v>0</v>
      </c>
      <c r="C158" s="226">
        <f>'6.Cons Profit &amp; Loss'!B14*(1-$M$123)</f>
        <v>0</v>
      </c>
      <c r="D158" s="226">
        <f>'6.Cons Profit &amp; Loss'!C14*(1-$M$123)</f>
        <v>0</v>
      </c>
      <c r="E158" s="226">
        <f>'6.Cons Profit &amp; Loss'!D14*(1-$M$123)</f>
        <v>0</v>
      </c>
      <c r="F158" s="226">
        <f>'6.Cons Profit &amp; Loss'!E14*(1-$M$123)</f>
        <v>0</v>
      </c>
      <c r="G158" s="226">
        <f>'6.Cons Profit &amp; Loss'!F14*(1-$M$123)</f>
        <v>0</v>
      </c>
      <c r="H158" s="226">
        <f>'6.Cons Profit &amp; Loss'!G14*(1-$M$123)</f>
        <v>0</v>
      </c>
      <c r="I158" s="226">
        <f>'6.Cons Profit &amp; Loss'!H14*(1-$M$123)</f>
        <v>0</v>
      </c>
    </row>
    <row r="159" spans="2:15" x14ac:dyDescent="0.25">
      <c r="B159" s="225" t="s">
        <v>343</v>
      </c>
      <c r="C159" s="226">
        <f>SUM(C152:C158)</f>
        <v>123600162.55144122</v>
      </c>
      <c r="D159" s="226">
        <f t="shared" ref="D159:I159" si="21">SUM(D152:D158)</f>
        <v>144085085.15639338</v>
      </c>
      <c r="E159" s="226">
        <f t="shared" si="21"/>
        <v>164233801.85828453</v>
      </c>
      <c r="F159" s="226">
        <f t="shared" si="21"/>
        <v>186037177.51747382</v>
      </c>
      <c r="G159" s="226">
        <f t="shared" si="21"/>
        <v>209610306.23793632</v>
      </c>
      <c r="H159" s="226">
        <f t="shared" si="21"/>
        <v>234966532.81305766</v>
      </c>
      <c r="I159" s="226">
        <f t="shared" si="21"/>
        <v>262334356.28009623</v>
      </c>
    </row>
    <row r="160" spans="2:15" x14ac:dyDescent="0.25">
      <c r="B160" s="225" t="s">
        <v>344</v>
      </c>
      <c r="C160" s="226"/>
      <c r="D160" s="226"/>
      <c r="E160" s="226"/>
      <c r="F160" s="226"/>
      <c r="G160" s="226"/>
      <c r="H160" s="226"/>
      <c r="I160" s="226"/>
    </row>
    <row r="161" spans="2:9" x14ac:dyDescent="0.25">
      <c r="B161" s="225" t="s">
        <v>345</v>
      </c>
      <c r="C161" s="226">
        <f>'6.Cons Profit &amp; Loss'!B36</f>
        <v>2430800</v>
      </c>
      <c r="D161" s="226">
        <f>'6.Cons Profit &amp; Loss'!C36</f>
        <v>2552340</v>
      </c>
      <c r="E161" s="226">
        <f>'6.Cons Profit &amp; Loss'!D36</f>
        <v>2679957</v>
      </c>
      <c r="F161" s="226">
        <f>'6.Cons Profit &amp; Loss'!E36</f>
        <v>2813954.8500000006</v>
      </c>
      <c r="G161" s="226">
        <f>'6.Cons Profit &amp; Loss'!F36</f>
        <v>2954652.5925000003</v>
      </c>
      <c r="H161" s="226">
        <f>'6.Cons Profit &amp; Loss'!G36</f>
        <v>3102385.2221250003</v>
      </c>
      <c r="I161" s="226">
        <f>'6.Cons Profit &amp; Loss'!H36</f>
        <v>3257504.4832312511</v>
      </c>
    </row>
    <row r="162" spans="2:9" x14ac:dyDescent="0.25">
      <c r="B162" s="225" t="s">
        <v>305</v>
      </c>
      <c r="C162" s="226">
        <f>'6.Cons Profit &amp; Loss'!B25*(1-$M$123)</f>
        <v>114319051.10274275</v>
      </c>
      <c r="D162" s="226">
        <f>'6.Cons Profit &amp; Loss'!C25*(1-$M$123)</f>
        <v>133914389.20006199</v>
      </c>
      <c r="E162" s="226">
        <f>'6.Cons Profit &amp; Loss'!D25*(1-$M$123)</f>
        <v>152715648.00699177</v>
      </c>
      <c r="F162" s="226">
        <f>'6.Cons Profit &amp; Loss'!E25*(1-$M$123)</f>
        <v>173062858.16531405</v>
      </c>
      <c r="G162" s="226">
        <f>'6.Cons Profit &amp; Loss'!F25*(1-$M$123)</f>
        <v>195064747.91462266</v>
      </c>
      <c r="H162" s="226">
        <f>'6.Cons Profit &amp; Loss'!G25*(1-$M$123)</f>
        <v>218829849.35540515</v>
      </c>
      <c r="I162" s="226">
        <f>'6.Cons Profit &amp; Loss'!H25*(1-$M$123)</f>
        <v>244488309.87000495</v>
      </c>
    </row>
    <row r="163" spans="2:9" x14ac:dyDescent="0.25">
      <c r="B163" s="225" t="s">
        <v>346</v>
      </c>
      <c r="C163" s="226">
        <f t="shared" ref="C163:I163" si="22">SUM(C161:C162)</f>
        <v>116749851.10274275</v>
      </c>
      <c r="D163" s="226">
        <f t="shared" si="22"/>
        <v>136466729.20006198</v>
      </c>
      <c r="E163" s="226">
        <f t="shared" si="22"/>
        <v>155395605.00699177</v>
      </c>
      <c r="F163" s="226">
        <f t="shared" si="22"/>
        <v>175876813.01531404</v>
      </c>
      <c r="G163" s="226">
        <f t="shared" si="22"/>
        <v>198019400.50712267</v>
      </c>
      <c r="H163" s="226">
        <f t="shared" si="22"/>
        <v>221932234.57753015</v>
      </c>
      <c r="I163" s="226">
        <f t="shared" si="22"/>
        <v>247745814.3532362</v>
      </c>
    </row>
    <row r="164" spans="2:9" x14ac:dyDescent="0.25">
      <c r="B164" s="228" t="s">
        <v>347</v>
      </c>
      <c r="C164" s="229">
        <f t="shared" ref="C164:I164" si="23">+C159-C163</f>
        <v>6850311.448698476</v>
      </c>
      <c r="D164" s="229">
        <f t="shared" si="23"/>
        <v>7618355.9563314021</v>
      </c>
      <c r="E164" s="229">
        <f t="shared" si="23"/>
        <v>8838196.8512927592</v>
      </c>
      <c r="F164" s="229">
        <f t="shared" si="23"/>
        <v>10160364.502159774</v>
      </c>
      <c r="G164" s="229">
        <f t="shared" si="23"/>
        <v>11590905.730813652</v>
      </c>
      <c r="H164" s="229">
        <f t="shared" si="23"/>
        <v>13034298.235527515</v>
      </c>
      <c r="I164" s="229">
        <f t="shared" si="23"/>
        <v>14588541.926860034</v>
      </c>
    </row>
    <row r="165" spans="2:9" x14ac:dyDescent="0.25">
      <c r="B165" s="144"/>
      <c r="C165" s="231"/>
      <c r="D165" s="231"/>
      <c r="E165" s="231"/>
      <c r="F165" s="231"/>
      <c r="G165" s="231"/>
      <c r="H165" s="231"/>
      <c r="I165" s="231"/>
    </row>
    <row r="166" spans="2:9" x14ac:dyDescent="0.25">
      <c r="B166" s="106" t="s">
        <v>350</v>
      </c>
      <c r="C166" s="107" t="s">
        <v>2</v>
      </c>
      <c r="D166" s="107" t="s">
        <v>3</v>
      </c>
      <c r="E166" s="107" t="s">
        <v>4</v>
      </c>
      <c r="F166" s="107" t="s">
        <v>5</v>
      </c>
      <c r="G166" s="107" t="s">
        <v>6</v>
      </c>
      <c r="H166" s="107" t="s">
        <v>168</v>
      </c>
      <c r="I166" s="107" t="s">
        <v>167</v>
      </c>
    </row>
    <row r="167" spans="2:9" x14ac:dyDescent="0.25">
      <c r="B167" s="225" t="str">
        <f t="shared" ref="B167:B173" si="24">B152</f>
        <v>Faclitiy 1 - Cleaning &amp; Grading</v>
      </c>
      <c r="C167" s="232">
        <f>'6.Cons Profit &amp; Loss'!B8</f>
        <v>59454285.919874981</v>
      </c>
      <c r="D167" s="232">
        <f>'6.Cons Profit &amp; Loss'!C8</f>
        <v>68669700.237455606</v>
      </c>
      <c r="E167" s="232">
        <f>'6.Cons Profit &amp; Loss'!D8</f>
        <v>76473075.26443921</v>
      </c>
      <c r="F167" s="232">
        <f>'6.Cons Profit &amp; Loss'!E8</f>
        <v>84885113.543527529</v>
      </c>
      <c r="G167" s="232">
        <f>'6.Cons Profit &amp; Loss'!F8</f>
        <v>93947172.962363571</v>
      </c>
      <c r="H167" s="232">
        <f>'6.Cons Profit &amp; Loss'!G8</f>
        <v>103703225.53922445</v>
      </c>
      <c r="I167" s="232">
        <f>'6.Cons Profit &amp; Loss'!H8</f>
        <v>114200015.44136544</v>
      </c>
    </row>
    <row r="168" spans="2:9" x14ac:dyDescent="0.25">
      <c r="B168" s="225" t="str">
        <f t="shared" si="24"/>
        <v>Faclitiy 2 - Processing Unit- Dal Mill</v>
      </c>
      <c r="C168" s="232">
        <f>'6.Cons Profit &amp; Loss'!B9</f>
        <v>69211148.344799995</v>
      </c>
      <c r="D168" s="232">
        <f>'6.Cons Profit &amp; Loss'!C9</f>
        <v>81392310.453484803</v>
      </c>
      <c r="E168" s="232">
        <f>'6.Cons Profit &amp; Loss'!D9</f>
        <v>94618560.902176097</v>
      </c>
      <c r="F168" s="232">
        <f>'6.Cons Profit &amp; Loss'!E9</f>
        <v>108963955.61960283</v>
      </c>
      <c r="G168" s="232">
        <f>'6.Cons Profit &amp; Loss'!F9</f>
        <v>124507343.40651676</v>
      </c>
      <c r="H168" s="232">
        <f>'6.Cons Profit &amp; Loss'!G9</f>
        <v>141332660.08307311</v>
      </c>
      <c r="I168" s="232">
        <f>'6.Cons Profit &amp; Loss'!H9</f>
        <v>159529240.06876877</v>
      </c>
    </row>
    <row r="169" spans="2:9" x14ac:dyDescent="0.25">
      <c r="B169" s="225" t="str">
        <f t="shared" si="24"/>
        <v>Faclitiy 3 - Warehouse</v>
      </c>
      <c r="C169" s="232">
        <f>'6.Cons Profit &amp; Loss'!B10</f>
        <v>1440000</v>
      </c>
      <c r="D169" s="232">
        <f>'6.Cons Profit &amp; Loss'!C10</f>
        <v>1606500.0000000002</v>
      </c>
      <c r="E169" s="232">
        <f>'6.Cons Profit &amp; Loss'!D10</f>
        <v>1786050.0000000002</v>
      </c>
      <c r="F169" s="232">
        <f>'6.Cons Profit &amp; Loss'!E10</f>
        <v>1979538.7500000007</v>
      </c>
      <c r="G169" s="232">
        <f>'6.Cons Profit &amp; Loss'!F10</f>
        <v>2187911.2500000009</v>
      </c>
      <c r="H169" s="232">
        <f>'6.Cons Profit &amp; Loss'!G10</f>
        <v>2297306.8125000014</v>
      </c>
      <c r="I169" s="232">
        <f>'6.Cons Profit &amp; Loss'!H10</f>
        <v>2412172.1531250016</v>
      </c>
    </row>
    <row r="170" spans="2:9" x14ac:dyDescent="0.25">
      <c r="B170" s="225" t="str">
        <f t="shared" si="24"/>
        <v xml:space="preserve">Faclitiy 4 - Custom Hiring </v>
      </c>
      <c r="C170" s="232">
        <f>'6.Cons Profit &amp; Loss'!B11</f>
        <v>0</v>
      </c>
      <c r="D170" s="232">
        <f>'6.Cons Profit &amp; Loss'!C11</f>
        <v>0</v>
      </c>
      <c r="E170" s="232">
        <f>'6.Cons Profit &amp; Loss'!D11</f>
        <v>0</v>
      </c>
      <c r="F170" s="232">
        <f>'6.Cons Profit &amp; Loss'!E11</f>
        <v>0</v>
      </c>
      <c r="G170" s="232">
        <f>'6.Cons Profit &amp; Loss'!F11</f>
        <v>0</v>
      </c>
      <c r="H170" s="232">
        <f>'6.Cons Profit &amp; Loss'!G11</f>
        <v>0</v>
      </c>
      <c r="I170" s="232">
        <f>'6.Cons Profit &amp; Loss'!H11</f>
        <v>0</v>
      </c>
    </row>
    <row r="171" spans="2:9" x14ac:dyDescent="0.25">
      <c r="B171" s="225" t="str">
        <f t="shared" si="24"/>
        <v>Faclitiy 5 - Agri Input Centre</v>
      </c>
      <c r="C171" s="232">
        <f>'6.Cons Profit &amp; Loss'!B12</f>
        <v>0</v>
      </c>
      <c r="D171" s="232">
        <f>'6.Cons Profit &amp; Loss'!C12</f>
        <v>0</v>
      </c>
      <c r="E171" s="232">
        <f>'6.Cons Profit &amp; Loss'!D12</f>
        <v>0</v>
      </c>
      <c r="F171" s="232">
        <f>'6.Cons Profit &amp; Loss'!E12</f>
        <v>0</v>
      </c>
      <c r="G171" s="232">
        <f>'6.Cons Profit &amp; Loss'!F12</f>
        <v>0</v>
      </c>
      <c r="H171" s="232">
        <f>'6.Cons Profit &amp; Loss'!G12</f>
        <v>0</v>
      </c>
      <c r="I171" s="232">
        <f>'6.Cons Profit &amp; Loss'!H12</f>
        <v>0</v>
      </c>
    </row>
    <row r="172" spans="2:9" x14ac:dyDescent="0.25">
      <c r="B172" s="225" t="str">
        <f t="shared" si="24"/>
        <v>Facility 6 - Processing Unit - Horti Commodity</v>
      </c>
      <c r="C172" s="232">
        <f>'6.Cons Profit &amp; Loss'!B13</f>
        <v>0</v>
      </c>
      <c r="D172" s="232">
        <f>'6.Cons Profit &amp; Loss'!C13</f>
        <v>0</v>
      </c>
      <c r="E172" s="232">
        <f>'6.Cons Profit &amp; Loss'!D13</f>
        <v>0</v>
      </c>
      <c r="F172" s="232">
        <f>'6.Cons Profit &amp; Loss'!E13</f>
        <v>0</v>
      </c>
      <c r="G172" s="232">
        <f>'6.Cons Profit &amp; Loss'!F13</f>
        <v>0</v>
      </c>
      <c r="H172" s="232">
        <f>'6.Cons Profit &amp; Loss'!G13</f>
        <v>0</v>
      </c>
      <c r="I172" s="232">
        <f>'6.Cons Profit &amp; Loss'!H13</f>
        <v>0</v>
      </c>
    </row>
    <row r="173" spans="2:9" x14ac:dyDescent="0.25">
      <c r="B173" s="225">
        <f t="shared" si="24"/>
        <v>0</v>
      </c>
      <c r="C173" s="232">
        <f>'6.Cons Profit &amp; Loss'!B14</f>
        <v>0</v>
      </c>
      <c r="D173" s="232">
        <f>'6.Cons Profit &amp; Loss'!C14</f>
        <v>0</v>
      </c>
      <c r="E173" s="232">
        <f>'6.Cons Profit &amp; Loss'!D14</f>
        <v>0</v>
      </c>
      <c r="F173" s="232">
        <f>'6.Cons Profit &amp; Loss'!E14</f>
        <v>0</v>
      </c>
      <c r="G173" s="232">
        <f>'6.Cons Profit &amp; Loss'!F14</f>
        <v>0</v>
      </c>
      <c r="H173" s="232">
        <f>'6.Cons Profit &amp; Loss'!G14</f>
        <v>0</v>
      </c>
      <c r="I173" s="232">
        <f>'6.Cons Profit &amp; Loss'!H14</f>
        <v>0</v>
      </c>
    </row>
    <row r="174" spans="2:9" x14ac:dyDescent="0.25">
      <c r="B174" s="225" t="s">
        <v>343</v>
      </c>
      <c r="C174" s="232">
        <f>SUM(C167:C173)</f>
        <v>130105434.26467498</v>
      </c>
      <c r="D174" s="232">
        <f t="shared" ref="D174:I174" si="25">SUM(D167:D173)</f>
        <v>151668510.69094041</v>
      </c>
      <c r="E174" s="232">
        <f t="shared" si="25"/>
        <v>172877686.16661531</v>
      </c>
      <c r="F174" s="232">
        <f t="shared" si="25"/>
        <v>195828607.91313034</v>
      </c>
      <c r="G174" s="232">
        <f t="shared" si="25"/>
        <v>220642427.61888033</v>
      </c>
      <c r="H174" s="232">
        <f t="shared" si="25"/>
        <v>247333192.43479756</v>
      </c>
      <c r="I174" s="232">
        <f t="shared" si="25"/>
        <v>276141427.66325921</v>
      </c>
    </row>
    <row r="175" spans="2:9" x14ac:dyDescent="0.25">
      <c r="B175" s="225" t="s">
        <v>344</v>
      </c>
      <c r="C175" s="232"/>
      <c r="D175" s="232"/>
      <c r="E175" s="232"/>
      <c r="F175" s="232"/>
      <c r="G175" s="232"/>
      <c r="H175" s="232"/>
      <c r="I175" s="232"/>
    </row>
    <row r="176" spans="2:9" x14ac:dyDescent="0.25">
      <c r="B176" s="225" t="s">
        <v>345</v>
      </c>
      <c r="C176" s="232">
        <f>'6.Cons Profit &amp; Loss'!B36</f>
        <v>2430800</v>
      </c>
      <c r="D176" s="232">
        <f>'6.Cons Profit &amp; Loss'!C36</f>
        <v>2552340</v>
      </c>
      <c r="E176" s="232">
        <f>'6.Cons Profit &amp; Loss'!D36</f>
        <v>2679957</v>
      </c>
      <c r="F176" s="232">
        <f>'6.Cons Profit &amp; Loss'!E36</f>
        <v>2813954.8500000006</v>
      </c>
      <c r="G176" s="232">
        <f>'6.Cons Profit &amp; Loss'!F36</f>
        <v>2954652.5925000003</v>
      </c>
      <c r="H176" s="232">
        <f>'6.Cons Profit &amp; Loss'!G36</f>
        <v>3102385.2221250003</v>
      </c>
      <c r="I176" s="232">
        <f>'6.Cons Profit &amp; Loss'!H36</f>
        <v>3257504.4832312511</v>
      </c>
    </row>
    <row r="177" spans="2:13" x14ac:dyDescent="0.25">
      <c r="B177" s="225" t="s">
        <v>305</v>
      </c>
      <c r="C177" s="232">
        <f>'6.Cons Profit &amp; Loss'!B25*(1-$M$124)</f>
        <v>114319051.10274275</v>
      </c>
      <c r="D177" s="232">
        <f>'6.Cons Profit &amp; Loss'!C25*(1-$M$124)</f>
        <v>133914389.20006199</v>
      </c>
      <c r="E177" s="232">
        <f>'6.Cons Profit &amp; Loss'!D25*(1-$M$124)</f>
        <v>152715648.00699177</v>
      </c>
      <c r="F177" s="232">
        <f>'6.Cons Profit &amp; Loss'!E25*(1-$M$124)</f>
        <v>173062858.16531405</v>
      </c>
      <c r="G177" s="232">
        <f>'6.Cons Profit &amp; Loss'!F25*(1-$M$124)</f>
        <v>195064747.91462266</v>
      </c>
      <c r="H177" s="232">
        <f>'6.Cons Profit &amp; Loss'!G25*(1-$M$124)</f>
        <v>218829849.35540515</v>
      </c>
      <c r="I177" s="232">
        <f>'6.Cons Profit &amp; Loss'!H25*(1-$M$124)</f>
        <v>244488309.87000495</v>
      </c>
    </row>
    <row r="178" spans="2:13" x14ac:dyDescent="0.25">
      <c r="B178" s="225" t="s">
        <v>346</v>
      </c>
      <c r="C178" s="232">
        <f t="shared" ref="C178:I178" si="26">SUM(C176:C177)</f>
        <v>116749851.10274275</v>
      </c>
      <c r="D178" s="232">
        <f t="shared" si="26"/>
        <v>136466729.20006198</v>
      </c>
      <c r="E178" s="232">
        <f t="shared" si="26"/>
        <v>155395605.00699177</v>
      </c>
      <c r="F178" s="232">
        <f t="shared" si="26"/>
        <v>175876813.01531404</v>
      </c>
      <c r="G178" s="232">
        <f t="shared" si="26"/>
        <v>198019400.50712267</v>
      </c>
      <c r="H178" s="232">
        <f t="shared" si="26"/>
        <v>221932234.57753015</v>
      </c>
      <c r="I178" s="232">
        <f t="shared" si="26"/>
        <v>247745814.3532362</v>
      </c>
    </row>
    <row r="179" spans="2:13" x14ac:dyDescent="0.25">
      <c r="B179" s="228" t="s">
        <v>347</v>
      </c>
      <c r="C179" s="235">
        <f t="shared" ref="C179:I179" si="27">+C174-C178</f>
        <v>13355583.16193223</v>
      </c>
      <c r="D179" s="235">
        <f t="shared" si="27"/>
        <v>15201781.490878433</v>
      </c>
      <c r="E179" s="235">
        <f t="shared" si="27"/>
        <v>17482081.159623533</v>
      </c>
      <c r="F179" s="235">
        <f t="shared" si="27"/>
        <v>19951794.8978163</v>
      </c>
      <c r="G179" s="235">
        <f t="shared" si="27"/>
        <v>22623027.111757666</v>
      </c>
      <c r="H179" s="235">
        <f t="shared" si="27"/>
        <v>25400957.85726741</v>
      </c>
      <c r="I179" s="235">
        <f t="shared" si="27"/>
        <v>28395613.31002301</v>
      </c>
    </row>
    <row r="181" spans="2:13" ht="41.1" customHeight="1" x14ac:dyDescent="0.25">
      <c r="B181" s="521" t="s">
        <v>538</v>
      </c>
      <c r="C181" s="521"/>
      <c r="D181" s="521"/>
      <c r="E181" s="521"/>
      <c r="F181" s="521"/>
      <c r="G181" s="521"/>
      <c r="H181" s="521"/>
      <c r="I181" s="521"/>
      <c r="J181" s="236"/>
      <c r="K181" s="236"/>
      <c r="L181" s="236"/>
      <c r="M181" s="236"/>
    </row>
  </sheetData>
  <mergeCells count="20">
    <mergeCell ref="C85:I85"/>
    <mergeCell ref="B75:J75"/>
    <mergeCell ref="B181:I181"/>
    <mergeCell ref="B120:I120"/>
    <mergeCell ref="K120:R120"/>
    <mergeCell ref="B5:J5"/>
    <mergeCell ref="B103:J103"/>
    <mergeCell ref="B118:J118"/>
    <mergeCell ref="D20:J20"/>
    <mergeCell ref="B105:I105"/>
    <mergeCell ref="B24:J24"/>
    <mergeCell ref="D22:J22"/>
    <mergeCell ref="B88:I88"/>
    <mergeCell ref="B90:J90"/>
    <mergeCell ref="B54:I54"/>
    <mergeCell ref="B51:J51"/>
    <mergeCell ref="C82:I82"/>
    <mergeCell ref="B76:I76"/>
    <mergeCell ref="C83:I83"/>
    <mergeCell ref="B26:I26"/>
  </mergeCells>
  <hyperlinks>
    <hyperlink ref="B24" r:id="rId1"/>
  </hyperlinks>
  <pageMargins left="0.7" right="0.7" top="0.75" bottom="0.75" header="0.3" footer="0.3"/>
  <pageSetup paperSize="9" scale="53" orientation="portrait" r:id="rId2"/>
  <rowBreaks count="2" manualBreakCount="2">
    <brk id="73" min="1" max="9" man="1"/>
    <brk id="150"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zoomScale="90" zoomScaleNormal="90" zoomScaleSheetLayoutView="100" workbookViewId="0">
      <selection activeCell="A39" sqref="A39:H39"/>
    </sheetView>
  </sheetViews>
  <sheetFormatPr defaultColWidth="10" defaultRowHeight="15" x14ac:dyDescent="0.25"/>
  <cols>
    <col min="1" max="1" width="49.28515625" style="104" customWidth="1"/>
    <col min="2" max="2" width="23.28515625" style="104" customWidth="1"/>
    <col min="3" max="3" width="11.5703125" style="104" customWidth="1"/>
    <col min="4" max="4" width="18.7109375" style="104" customWidth="1"/>
    <col min="5" max="5" width="15.28515625" style="104" customWidth="1"/>
    <col min="6" max="7" width="15.7109375" style="104" customWidth="1"/>
    <col min="8" max="8" width="21.28515625" style="104" customWidth="1"/>
    <col min="9" max="9" width="11.42578125" style="104" customWidth="1"/>
    <col min="10" max="10" width="9.28515625" style="104" customWidth="1"/>
    <col min="11" max="11" width="10.7109375" style="104" bestFit="1" customWidth="1"/>
    <col min="12" max="16384" width="10" style="104"/>
  </cols>
  <sheetData>
    <row r="1" spans="1:26" ht="18.75" x14ac:dyDescent="0.3">
      <c r="A1" s="479" t="s">
        <v>597</v>
      </c>
      <c r="B1" s="479"/>
      <c r="C1" s="479"/>
      <c r="D1" s="479"/>
      <c r="E1" s="479"/>
      <c r="F1" s="479"/>
      <c r="G1" s="479"/>
      <c r="H1" s="479"/>
    </row>
    <row r="2" spans="1:26" ht="21" x14ac:dyDescent="0.25">
      <c r="A2" s="434" t="s">
        <v>710</v>
      </c>
      <c r="B2" s="105"/>
    </row>
    <row r="3" spans="1:26" ht="18.75" x14ac:dyDescent="0.3">
      <c r="A3" s="527" t="s">
        <v>566</v>
      </c>
      <c r="B3" s="527"/>
    </row>
    <row r="4" spans="1:26" x14ac:dyDescent="0.25">
      <c r="A4" s="106" t="s">
        <v>0</v>
      </c>
      <c r="B4" s="107" t="s">
        <v>381</v>
      </c>
      <c r="C4" s="108"/>
      <c r="D4" s="108"/>
      <c r="E4" s="108"/>
      <c r="F4" s="108"/>
      <c r="G4" s="108"/>
      <c r="H4" s="108"/>
    </row>
    <row r="5" spans="1:26" x14ac:dyDescent="0.25">
      <c r="A5" s="109" t="s">
        <v>491</v>
      </c>
      <c r="B5" s="110">
        <v>1010</v>
      </c>
      <c r="C5" s="111"/>
      <c r="D5" s="112"/>
      <c r="E5" s="112"/>
      <c r="F5" s="112"/>
      <c r="G5" s="112"/>
      <c r="H5" s="112"/>
    </row>
    <row r="6" spans="1:26" x14ac:dyDescent="0.25">
      <c r="A6" s="109" t="s">
        <v>492</v>
      </c>
      <c r="B6" s="110">
        <v>1300</v>
      </c>
      <c r="C6" s="111"/>
      <c r="D6" s="425"/>
      <c r="E6" s="425"/>
      <c r="F6" s="112"/>
      <c r="G6" s="112"/>
      <c r="H6" s="112"/>
    </row>
    <row r="7" spans="1:26" x14ac:dyDescent="0.25">
      <c r="A7" s="113" t="s">
        <v>1</v>
      </c>
      <c r="B7" s="114">
        <f>B5+B6</f>
        <v>2310</v>
      </c>
      <c r="C7" s="115"/>
      <c r="D7" s="116"/>
      <c r="E7" s="116"/>
      <c r="F7" s="117"/>
      <c r="G7" s="116"/>
      <c r="H7" s="116"/>
    </row>
    <row r="8" spans="1:26" x14ac:dyDescent="0.25">
      <c r="A8" s="113" t="s">
        <v>493</v>
      </c>
      <c r="B8" s="435">
        <v>3.5</v>
      </c>
      <c r="C8" s="115"/>
      <c r="D8" s="425"/>
      <c r="E8" s="115"/>
      <c r="F8" s="115"/>
      <c r="G8" s="115"/>
      <c r="H8" s="115"/>
    </row>
    <row r="9" spans="1:26" x14ac:dyDescent="0.25">
      <c r="A9" s="113" t="s">
        <v>498</v>
      </c>
      <c r="B9" s="114">
        <f>B7*B8</f>
        <v>8085</v>
      </c>
      <c r="C9" s="116"/>
      <c r="D9" s="116"/>
      <c r="E9" s="116"/>
      <c r="F9" s="116"/>
      <c r="G9" s="116"/>
      <c r="H9" s="116"/>
    </row>
    <row r="10" spans="1:26" x14ac:dyDescent="0.25">
      <c r="J10" s="104" t="s">
        <v>446</v>
      </c>
      <c r="O10" s="104" t="s">
        <v>442</v>
      </c>
      <c r="U10" s="104" t="s">
        <v>443</v>
      </c>
      <c r="Y10" s="104" t="s">
        <v>444</v>
      </c>
      <c r="Z10" s="104" t="s">
        <v>445</v>
      </c>
    </row>
    <row r="11" spans="1:26" ht="18.75" x14ac:dyDescent="0.3">
      <c r="A11" s="479" t="s">
        <v>567</v>
      </c>
      <c r="B11" s="479"/>
      <c r="C11" s="479"/>
      <c r="D11" s="479"/>
      <c r="E11" s="479"/>
      <c r="F11" s="479"/>
      <c r="G11" s="479"/>
      <c r="H11" s="479"/>
      <c r="I11" s="119"/>
      <c r="J11" s="119"/>
      <c r="K11" s="119"/>
      <c r="L11" s="119"/>
      <c r="M11" s="119"/>
      <c r="N11" s="119"/>
      <c r="O11" s="119"/>
      <c r="P11" s="119"/>
    </row>
    <row r="12" spans="1:26" x14ac:dyDescent="0.25">
      <c r="J12" s="120">
        <v>0.65</v>
      </c>
      <c r="K12" s="121">
        <f>J12+0.05</f>
        <v>0.70000000000000007</v>
      </c>
      <c r="L12" s="121">
        <f t="shared" ref="L12:N12" si="0">K12+0.05</f>
        <v>0.75000000000000011</v>
      </c>
      <c r="M12" s="121">
        <f t="shared" si="0"/>
        <v>0.80000000000000016</v>
      </c>
      <c r="N12" s="121">
        <f t="shared" si="0"/>
        <v>0.8500000000000002</v>
      </c>
      <c r="O12" s="120">
        <v>0.4</v>
      </c>
      <c r="P12" s="120">
        <f>O12+0.05</f>
        <v>0.45</v>
      </c>
      <c r="Q12" s="120">
        <f t="shared" ref="Q12:T12" si="1">P12+0.05</f>
        <v>0.5</v>
      </c>
      <c r="R12" s="120">
        <f t="shared" si="1"/>
        <v>0.55000000000000004</v>
      </c>
      <c r="S12" s="120">
        <f t="shared" si="1"/>
        <v>0.60000000000000009</v>
      </c>
      <c r="T12" s="120">
        <f t="shared" si="1"/>
        <v>0.65000000000000013</v>
      </c>
      <c r="U12" s="120">
        <v>0.1</v>
      </c>
      <c r="V12" s="122">
        <f>U12+0.05</f>
        <v>0.15000000000000002</v>
      </c>
      <c r="W12" s="122">
        <f t="shared" ref="W12:X12" si="2">V12+0.05</f>
        <v>0.2</v>
      </c>
      <c r="X12" s="122">
        <f t="shared" si="2"/>
        <v>0.25</v>
      </c>
    </row>
    <row r="13" spans="1:26" ht="45" x14ac:dyDescent="0.25">
      <c r="A13" s="106" t="s">
        <v>385</v>
      </c>
      <c r="B13" s="106" t="s">
        <v>386</v>
      </c>
      <c r="C13" s="123" t="s">
        <v>439</v>
      </c>
      <c r="D13" s="123" t="s">
        <v>447</v>
      </c>
      <c r="E13" s="123" t="s">
        <v>448</v>
      </c>
      <c r="F13" s="123" t="s">
        <v>387</v>
      </c>
      <c r="G13" s="123" t="s">
        <v>638</v>
      </c>
      <c r="H13" s="123" t="s">
        <v>388</v>
      </c>
      <c r="O13" s="124" t="s">
        <v>2</v>
      </c>
      <c r="P13" s="124" t="s">
        <v>3</v>
      </c>
      <c r="Q13" s="124" t="s">
        <v>4</v>
      </c>
      <c r="R13" s="124" t="s">
        <v>5</v>
      </c>
      <c r="S13" s="124" t="s">
        <v>6</v>
      </c>
      <c r="T13" s="124" t="s">
        <v>2</v>
      </c>
      <c r="U13" s="124" t="s">
        <v>3</v>
      </c>
      <c r="V13" s="124" t="s">
        <v>4</v>
      </c>
      <c r="W13" s="124" t="s">
        <v>5</v>
      </c>
      <c r="X13" s="124" t="s">
        <v>6</v>
      </c>
    </row>
    <row r="14" spans="1:26" x14ac:dyDescent="0.25">
      <c r="A14" s="530" t="s">
        <v>389</v>
      </c>
      <c r="B14" s="110" t="s">
        <v>166</v>
      </c>
      <c r="C14" s="125">
        <v>0.4</v>
      </c>
      <c r="D14" s="126">
        <f>$B$9*C14</f>
        <v>3234</v>
      </c>
      <c r="E14" s="127">
        <v>8</v>
      </c>
      <c r="F14" s="126">
        <f>D14*E14</f>
        <v>25872</v>
      </c>
      <c r="G14" s="128">
        <v>0</v>
      </c>
      <c r="H14" s="126">
        <f>(F14-F14*G14)</f>
        <v>25872</v>
      </c>
      <c r="J14" s="104">
        <f>$H$14*J12</f>
        <v>16816.8</v>
      </c>
      <c r="K14" s="104">
        <f t="shared" ref="K14:N14" si="3">$H$14*K12</f>
        <v>18110.400000000001</v>
      </c>
      <c r="L14" s="104">
        <f t="shared" si="3"/>
        <v>19404.000000000004</v>
      </c>
      <c r="M14" s="104">
        <f t="shared" si="3"/>
        <v>20697.600000000006</v>
      </c>
      <c r="N14" s="104">
        <f t="shared" si="3"/>
        <v>21991.200000000004</v>
      </c>
    </row>
    <row r="15" spans="1:26" x14ac:dyDescent="0.25">
      <c r="A15" s="531"/>
      <c r="B15" s="110" t="s">
        <v>471</v>
      </c>
      <c r="C15" s="125">
        <v>0.37</v>
      </c>
      <c r="D15" s="126">
        <f>$B$9*C15</f>
        <v>2991.45</v>
      </c>
      <c r="E15" s="127">
        <v>7</v>
      </c>
      <c r="F15" s="126">
        <f t="shared" ref="F15:F36" si="4">D15*E15</f>
        <v>20940.149999999998</v>
      </c>
      <c r="G15" s="128">
        <v>0.02</v>
      </c>
      <c r="H15" s="126">
        <f>(F15-F15*G15)</f>
        <v>20521.346999999998</v>
      </c>
      <c r="J15" s="104">
        <f>$H$15*J12</f>
        <v>13338.875549999999</v>
      </c>
      <c r="K15" s="104">
        <f t="shared" ref="K15:N15" si="5">$H$15*K12</f>
        <v>14364.9429</v>
      </c>
      <c r="L15" s="104">
        <f t="shared" si="5"/>
        <v>15391.010250000001</v>
      </c>
      <c r="M15" s="104">
        <f t="shared" si="5"/>
        <v>16417.077600000001</v>
      </c>
      <c r="N15" s="104">
        <f t="shared" si="5"/>
        <v>17443.144950000002</v>
      </c>
    </row>
    <row r="16" spans="1:26" x14ac:dyDescent="0.25">
      <c r="A16" s="531"/>
      <c r="B16" s="110" t="s">
        <v>470</v>
      </c>
      <c r="C16" s="125">
        <v>0</v>
      </c>
      <c r="D16" s="126">
        <f t="shared" ref="D16:D22" si="6">$B$9*C16</f>
        <v>0</v>
      </c>
      <c r="E16" s="127">
        <v>0</v>
      </c>
      <c r="F16" s="109">
        <f t="shared" si="4"/>
        <v>0</v>
      </c>
      <c r="G16" s="128">
        <v>0</v>
      </c>
      <c r="H16" s="126">
        <f t="shared" ref="H16:H36" si="7">(F16-F16*G16)</f>
        <v>0</v>
      </c>
      <c r="J16" s="104">
        <f>$H$25*J12</f>
        <v>12581.068500000001</v>
      </c>
      <c r="K16" s="104">
        <f t="shared" ref="K16:N16" si="8">$H$25*K12</f>
        <v>13548.843000000003</v>
      </c>
      <c r="L16" s="104">
        <f t="shared" si="8"/>
        <v>14516.617500000004</v>
      </c>
      <c r="M16" s="104">
        <f t="shared" si="8"/>
        <v>15484.392000000003</v>
      </c>
      <c r="N16" s="104">
        <f t="shared" si="8"/>
        <v>16452.166500000007</v>
      </c>
    </row>
    <row r="17" spans="1:11" x14ac:dyDescent="0.25">
      <c r="A17" s="531"/>
      <c r="B17" s="110" t="s">
        <v>468</v>
      </c>
      <c r="C17" s="125">
        <v>0.1</v>
      </c>
      <c r="D17" s="126">
        <f t="shared" si="6"/>
        <v>808.5</v>
      </c>
      <c r="E17" s="127">
        <v>7</v>
      </c>
      <c r="F17" s="109">
        <f t="shared" si="4"/>
        <v>5659.5</v>
      </c>
      <c r="G17" s="128">
        <v>0.02</v>
      </c>
      <c r="H17" s="126">
        <f t="shared" si="7"/>
        <v>5546.31</v>
      </c>
    </row>
    <row r="18" spans="1:11" x14ac:dyDescent="0.25">
      <c r="A18" s="531"/>
      <c r="B18" s="110" t="s">
        <v>390</v>
      </c>
      <c r="C18" s="125">
        <v>0</v>
      </c>
      <c r="D18" s="126">
        <f t="shared" si="6"/>
        <v>0</v>
      </c>
      <c r="E18" s="127">
        <v>0</v>
      </c>
      <c r="F18" s="109">
        <f t="shared" si="4"/>
        <v>0</v>
      </c>
      <c r="G18" s="128">
        <v>0</v>
      </c>
      <c r="H18" s="126">
        <f t="shared" si="7"/>
        <v>0</v>
      </c>
      <c r="K18" s="129"/>
    </row>
    <row r="19" spans="1:11" x14ac:dyDescent="0.25">
      <c r="A19" s="531"/>
      <c r="B19" s="110" t="s">
        <v>469</v>
      </c>
      <c r="C19" s="125">
        <v>0</v>
      </c>
      <c r="D19" s="126">
        <f t="shared" si="6"/>
        <v>0</v>
      </c>
      <c r="E19" s="127">
        <v>7</v>
      </c>
      <c r="F19" s="109">
        <f t="shared" si="4"/>
        <v>0</v>
      </c>
      <c r="G19" s="128">
        <v>0.05</v>
      </c>
      <c r="H19" s="126">
        <f t="shared" si="7"/>
        <v>0</v>
      </c>
    </row>
    <row r="20" spans="1:11" x14ac:dyDescent="0.25">
      <c r="A20" s="531"/>
      <c r="B20" s="110" t="s">
        <v>462</v>
      </c>
      <c r="C20" s="125">
        <v>0</v>
      </c>
      <c r="D20" s="126">
        <f t="shared" si="6"/>
        <v>0</v>
      </c>
      <c r="E20" s="127">
        <v>0</v>
      </c>
      <c r="F20" s="109">
        <f t="shared" si="4"/>
        <v>0</v>
      </c>
      <c r="G20" s="128">
        <v>0.02</v>
      </c>
      <c r="H20" s="126">
        <f t="shared" si="7"/>
        <v>0</v>
      </c>
    </row>
    <row r="21" spans="1:11" x14ac:dyDescent="0.25">
      <c r="A21" s="531"/>
      <c r="B21" s="110" t="s">
        <v>394</v>
      </c>
      <c r="C21" s="125">
        <v>0</v>
      </c>
      <c r="D21" s="126">
        <f t="shared" si="6"/>
        <v>0</v>
      </c>
      <c r="E21" s="127"/>
      <c r="F21" s="109">
        <f t="shared" si="4"/>
        <v>0</v>
      </c>
      <c r="G21" s="128">
        <v>0</v>
      </c>
      <c r="H21" s="126">
        <f t="shared" si="7"/>
        <v>0</v>
      </c>
    </row>
    <row r="22" spans="1:11" x14ac:dyDescent="0.25">
      <c r="A22" s="532"/>
      <c r="B22" s="110" t="s">
        <v>472</v>
      </c>
      <c r="C22" s="125">
        <v>0</v>
      </c>
      <c r="D22" s="126">
        <f t="shared" si="6"/>
        <v>0</v>
      </c>
      <c r="E22" s="127"/>
      <c r="F22" s="109">
        <f t="shared" si="4"/>
        <v>0</v>
      </c>
      <c r="G22" s="128">
        <v>0</v>
      </c>
      <c r="H22" s="126">
        <f t="shared" si="7"/>
        <v>0</v>
      </c>
    </row>
    <row r="23" spans="1:11" x14ac:dyDescent="0.25">
      <c r="A23" s="130" t="s">
        <v>476</v>
      </c>
      <c r="B23" s="131">
        <v>0.6</v>
      </c>
      <c r="C23" s="132">
        <f>B9*B23</f>
        <v>4851</v>
      </c>
      <c r="D23" s="126"/>
      <c r="E23" s="127"/>
      <c r="F23" s="109"/>
      <c r="G23" s="128"/>
      <c r="H23" s="126"/>
    </row>
    <row r="24" spans="1:11" x14ac:dyDescent="0.25">
      <c r="A24" s="530" t="s">
        <v>391</v>
      </c>
      <c r="B24" s="110" t="s">
        <v>392</v>
      </c>
      <c r="C24" s="125">
        <v>0</v>
      </c>
      <c r="D24" s="126">
        <f>C$23*C24</f>
        <v>0</v>
      </c>
      <c r="E24" s="127">
        <v>0</v>
      </c>
      <c r="F24" s="109">
        <f t="shared" si="4"/>
        <v>0</v>
      </c>
      <c r="G24" s="128">
        <v>0.1</v>
      </c>
      <c r="H24" s="126">
        <f t="shared" si="7"/>
        <v>0</v>
      </c>
    </row>
    <row r="25" spans="1:11" x14ac:dyDescent="0.25">
      <c r="A25" s="531"/>
      <c r="B25" s="110" t="s">
        <v>393</v>
      </c>
      <c r="C25" s="125">
        <v>0.6</v>
      </c>
      <c r="D25" s="126">
        <f>C$23*C25</f>
        <v>2910.6</v>
      </c>
      <c r="E25" s="127">
        <v>7</v>
      </c>
      <c r="F25" s="126">
        <f t="shared" si="4"/>
        <v>20374.2</v>
      </c>
      <c r="G25" s="128">
        <v>0.05</v>
      </c>
      <c r="H25" s="126">
        <f t="shared" si="7"/>
        <v>19355.490000000002</v>
      </c>
      <c r="J25" s="104">
        <v>1490</v>
      </c>
    </row>
    <row r="26" spans="1:11" x14ac:dyDescent="0.25">
      <c r="A26" s="531"/>
      <c r="B26" s="110" t="s">
        <v>394</v>
      </c>
      <c r="C26" s="125">
        <v>0</v>
      </c>
      <c r="D26" s="109">
        <f>C$23*C26</f>
        <v>0</v>
      </c>
      <c r="E26" s="127">
        <v>0</v>
      </c>
      <c r="F26" s="109">
        <f t="shared" si="4"/>
        <v>0</v>
      </c>
      <c r="G26" s="128">
        <v>0.05</v>
      </c>
      <c r="H26" s="126">
        <f t="shared" si="7"/>
        <v>0</v>
      </c>
      <c r="J26" s="104">
        <v>1385.7</v>
      </c>
    </row>
    <row r="27" spans="1:11" x14ac:dyDescent="0.25">
      <c r="A27" s="531"/>
      <c r="B27" s="110" t="s">
        <v>390</v>
      </c>
      <c r="C27" s="125">
        <v>0</v>
      </c>
      <c r="D27" s="109">
        <f t="shared" ref="D27:D31" si="9">C$23*C27</f>
        <v>0</v>
      </c>
      <c r="E27" s="127">
        <v>0</v>
      </c>
      <c r="F27" s="109">
        <f t="shared" si="4"/>
        <v>0</v>
      </c>
      <c r="G27" s="128">
        <v>0</v>
      </c>
      <c r="H27" s="126">
        <f t="shared" si="7"/>
        <v>0</v>
      </c>
      <c r="J27" s="104">
        <f>+J25-J26</f>
        <v>104.29999999999995</v>
      </c>
    </row>
    <row r="28" spans="1:11" x14ac:dyDescent="0.25">
      <c r="A28" s="531"/>
      <c r="B28" s="110" t="s">
        <v>473</v>
      </c>
      <c r="C28" s="125">
        <v>0</v>
      </c>
      <c r="D28" s="109">
        <f t="shared" si="9"/>
        <v>0</v>
      </c>
      <c r="E28" s="127"/>
      <c r="F28" s="109">
        <f t="shared" si="4"/>
        <v>0</v>
      </c>
      <c r="G28" s="128">
        <v>0</v>
      </c>
      <c r="H28" s="109">
        <f t="shared" si="7"/>
        <v>0</v>
      </c>
      <c r="J28" s="104">
        <f>+J27/C23</f>
        <v>2.1500721500721492E-2</v>
      </c>
    </row>
    <row r="29" spans="1:11" x14ac:dyDescent="0.25">
      <c r="A29" s="531"/>
      <c r="B29" s="110"/>
      <c r="C29" s="125">
        <v>0</v>
      </c>
      <c r="D29" s="109">
        <f t="shared" si="9"/>
        <v>0</v>
      </c>
      <c r="E29" s="127"/>
      <c r="F29" s="109">
        <f t="shared" si="4"/>
        <v>0</v>
      </c>
      <c r="G29" s="128">
        <v>0</v>
      </c>
      <c r="H29" s="109">
        <f t="shared" si="7"/>
        <v>0</v>
      </c>
    </row>
    <row r="30" spans="1:11" x14ac:dyDescent="0.25">
      <c r="A30" s="531"/>
      <c r="B30" s="110"/>
      <c r="C30" s="125">
        <v>0</v>
      </c>
      <c r="D30" s="109">
        <f t="shared" si="9"/>
        <v>0</v>
      </c>
      <c r="E30" s="127"/>
      <c r="F30" s="109">
        <f t="shared" si="4"/>
        <v>0</v>
      </c>
      <c r="G30" s="128">
        <v>0</v>
      </c>
      <c r="H30" s="109">
        <f t="shared" si="7"/>
        <v>0</v>
      </c>
    </row>
    <row r="31" spans="1:11" x14ac:dyDescent="0.25">
      <c r="A31" s="532"/>
      <c r="B31" s="110"/>
      <c r="C31" s="125">
        <v>0</v>
      </c>
      <c r="D31" s="109">
        <f t="shared" si="9"/>
        <v>0</v>
      </c>
      <c r="E31" s="127"/>
      <c r="F31" s="109">
        <f t="shared" si="4"/>
        <v>0</v>
      </c>
      <c r="G31" s="128">
        <v>0</v>
      </c>
      <c r="H31" s="109">
        <f t="shared" si="7"/>
        <v>0</v>
      </c>
    </row>
    <row r="32" spans="1:11" x14ac:dyDescent="0.25">
      <c r="A32" s="130" t="s">
        <v>475</v>
      </c>
      <c r="B32" s="131">
        <v>0</v>
      </c>
      <c r="C32" s="133">
        <f>B9*B32</f>
        <v>0</v>
      </c>
      <c r="D32" s="109"/>
      <c r="E32" s="127"/>
      <c r="F32" s="109"/>
      <c r="G32" s="128"/>
      <c r="H32" s="109"/>
    </row>
    <row r="33" spans="1:17" x14ac:dyDescent="0.25">
      <c r="A33" s="134" t="s">
        <v>453</v>
      </c>
      <c r="B33" s="110" t="s">
        <v>474</v>
      </c>
      <c r="C33" s="125">
        <v>0</v>
      </c>
      <c r="D33" s="109">
        <f>C$32*C33</f>
        <v>0</v>
      </c>
      <c r="E33" s="127"/>
      <c r="F33" s="109">
        <f t="shared" si="4"/>
        <v>0</v>
      </c>
      <c r="G33" s="128">
        <v>0</v>
      </c>
      <c r="H33" s="109">
        <f t="shared" si="7"/>
        <v>0</v>
      </c>
    </row>
    <row r="34" spans="1:17" x14ac:dyDescent="0.25">
      <c r="A34" s="135"/>
      <c r="B34" s="110"/>
      <c r="C34" s="125">
        <v>0</v>
      </c>
      <c r="D34" s="109">
        <f>C$32*C34</f>
        <v>0</v>
      </c>
      <c r="E34" s="127"/>
      <c r="F34" s="109">
        <f t="shared" si="4"/>
        <v>0</v>
      </c>
      <c r="G34" s="128">
        <v>0</v>
      </c>
      <c r="H34" s="109">
        <f t="shared" si="7"/>
        <v>0</v>
      </c>
    </row>
    <row r="35" spans="1:17" x14ac:dyDescent="0.25">
      <c r="A35" s="135"/>
      <c r="B35" s="110"/>
      <c r="C35" s="125">
        <v>0</v>
      </c>
      <c r="D35" s="109">
        <f>C$32*C35</f>
        <v>0</v>
      </c>
      <c r="E35" s="127"/>
      <c r="F35" s="109">
        <f t="shared" si="4"/>
        <v>0</v>
      </c>
      <c r="G35" s="128">
        <v>0</v>
      </c>
      <c r="H35" s="109">
        <f t="shared" si="7"/>
        <v>0</v>
      </c>
    </row>
    <row r="36" spans="1:17" x14ac:dyDescent="0.25">
      <c r="A36" s="136"/>
      <c r="B36" s="110"/>
      <c r="C36" s="125">
        <v>0</v>
      </c>
      <c r="D36" s="109">
        <f>C$32*C36</f>
        <v>0</v>
      </c>
      <c r="E36" s="127"/>
      <c r="F36" s="109">
        <f t="shared" si="4"/>
        <v>0</v>
      </c>
      <c r="G36" s="128">
        <v>0</v>
      </c>
      <c r="H36" s="109">
        <f t="shared" si="7"/>
        <v>0</v>
      </c>
    </row>
    <row r="37" spans="1:17" x14ac:dyDescent="0.25">
      <c r="A37" s="537" t="s">
        <v>395</v>
      </c>
      <c r="B37" s="537"/>
      <c r="C37" s="537"/>
      <c r="D37" s="537"/>
      <c r="E37" s="537"/>
      <c r="F37" s="537"/>
      <c r="G37" s="537"/>
      <c r="H37" s="537"/>
    </row>
    <row r="39" spans="1:17" ht="18.75" x14ac:dyDescent="0.3">
      <c r="A39" s="538" t="s">
        <v>568</v>
      </c>
      <c r="B39" s="539"/>
      <c r="C39" s="539"/>
      <c r="D39" s="539"/>
      <c r="E39" s="539"/>
      <c r="F39" s="539"/>
      <c r="G39" s="539"/>
      <c r="H39" s="540"/>
    </row>
    <row r="40" spans="1:17" x14ac:dyDescent="0.25">
      <c r="A40" s="533" t="s">
        <v>0</v>
      </c>
      <c r="B40" s="143">
        <v>0.3</v>
      </c>
      <c r="C40" s="454">
        <f>B40+3%</f>
        <v>0.32999999999999996</v>
      </c>
      <c r="D40" s="454">
        <f>C40+2%</f>
        <v>0.35</v>
      </c>
      <c r="E40" s="454">
        <f t="shared" ref="E40:H40" si="10">D40+2%</f>
        <v>0.37</v>
      </c>
      <c r="F40" s="454">
        <f t="shared" si="10"/>
        <v>0.39</v>
      </c>
      <c r="G40" s="454">
        <f t="shared" si="10"/>
        <v>0.41000000000000003</v>
      </c>
      <c r="H40" s="454">
        <f t="shared" si="10"/>
        <v>0.43000000000000005</v>
      </c>
      <c r="J40" s="137">
        <v>0.8</v>
      </c>
      <c r="K40" s="137">
        <v>0.85</v>
      </c>
      <c r="L40" s="137">
        <v>0.9</v>
      </c>
      <c r="M40" s="138">
        <v>0.95</v>
      </c>
      <c r="N40" s="138">
        <v>1</v>
      </c>
      <c r="O40" s="138">
        <v>1.05</v>
      </c>
      <c r="P40" s="138">
        <v>1.1000000000000001</v>
      </c>
      <c r="Q40" s="138"/>
    </row>
    <row r="41" spans="1:17" x14ac:dyDescent="0.25">
      <c r="A41" s="534"/>
      <c r="B41" s="107" t="s">
        <v>2</v>
      </c>
      <c r="C41" s="107" t="s">
        <v>3</v>
      </c>
      <c r="D41" s="107" t="s">
        <v>4</v>
      </c>
      <c r="E41" s="107" t="s">
        <v>5</v>
      </c>
      <c r="F41" s="107" t="s">
        <v>6</v>
      </c>
      <c r="G41" s="107" t="s">
        <v>168</v>
      </c>
      <c r="H41" s="107" t="s">
        <v>167</v>
      </c>
    </row>
    <row r="42" spans="1:17" x14ac:dyDescent="0.25">
      <c r="A42" s="109" t="str">
        <f t="shared" ref="A42:A50" si="11">B14</f>
        <v>Soybean</v>
      </c>
      <c r="B42" s="126">
        <f>H14*$B$40</f>
        <v>7761.5999999999995</v>
      </c>
      <c r="C42" s="126">
        <f>(B42/B$40)*C$40</f>
        <v>8537.7599999999984</v>
      </c>
      <c r="D42" s="126">
        <f t="shared" ref="D42" si="12">(C42/C$40)*D$40</f>
        <v>9055.1999999999989</v>
      </c>
      <c r="E42" s="126">
        <f t="shared" ref="E42" si="13">(D42/D$40)*E$40</f>
        <v>9572.64</v>
      </c>
      <c r="F42" s="126">
        <f t="shared" ref="F42" si="14">(E42/E$40)*F$40</f>
        <v>10090.08</v>
      </c>
      <c r="G42" s="126">
        <f t="shared" ref="G42" si="15">(F42/F$40)*G$40</f>
        <v>10607.52</v>
      </c>
      <c r="H42" s="126">
        <f t="shared" ref="H42" si="16">(G42/G$40)*H$40</f>
        <v>11124.960000000001</v>
      </c>
    </row>
    <row r="43" spans="1:17" x14ac:dyDescent="0.25">
      <c r="A43" s="109" t="str">
        <f t="shared" si="11"/>
        <v>Red Gram/Tur</v>
      </c>
      <c r="B43" s="126">
        <f>H15*$B$40</f>
        <v>6156.4040999999988</v>
      </c>
      <c r="C43" s="126">
        <f t="shared" ref="C43:H51" si="17">(B43/B$40)*C$40</f>
        <v>6772.0445099999988</v>
      </c>
      <c r="D43" s="126">
        <f t="shared" si="17"/>
        <v>7182.4714499999991</v>
      </c>
      <c r="E43" s="126">
        <f t="shared" si="17"/>
        <v>7592.8983899999994</v>
      </c>
      <c r="F43" s="126">
        <f t="shared" si="17"/>
        <v>8003.3253299999997</v>
      </c>
      <c r="G43" s="126">
        <f t="shared" si="17"/>
        <v>8413.752269999999</v>
      </c>
      <c r="H43" s="126">
        <f t="shared" si="17"/>
        <v>8824.1792099999984</v>
      </c>
    </row>
    <row r="44" spans="1:17" hidden="1" x14ac:dyDescent="0.25">
      <c r="A44" s="109" t="str">
        <f t="shared" si="11"/>
        <v>Paddy/Rice</v>
      </c>
      <c r="B44" s="126">
        <f t="shared" ref="B44:B50" si="18">H16*$B$40</f>
        <v>0</v>
      </c>
      <c r="C44" s="126">
        <f t="shared" si="17"/>
        <v>0</v>
      </c>
      <c r="D44" s="126">
        <f t="shared" si="17"/>
        <v>0</v>
      </c>
      <c r="E44" s="126">
        <f t="shared" si="17"/>
        <v>0</v>
      </c>
      <c r="F44" s="126">
        <f t="shared" si="17"/>
        <v>0</v>
      </c>
      <c r="G44" s="126">
        <f t="shared" si="17"/>
        <v>0</v>
      </c>
      <c r="H44" s="126">
        <f t="shared" si="17"/>
        <v>0</v>
      </c>
    </row>
    <row r="45" spans="1:17" x14ac:dyDescent="0.25">
      <c r="A45" s="109" t="str">
        <f t="shared" si="11"/>
        <v>Green Gram/ Moong</v>
      </c>
      <c r="B45" s="126">
        <f t="shared" si="18"/>
        <v>1663.893</v>
      </c>
      <c r="C45" s="126">
        <f t="shared" si="17"/>
        <v>1830.2822999999999</v>
      </c>
      <c r="D45" s="126">
        <f t="shared" si="17"/>
        <v>1941.2085</v>
      </c>
      <c r="E45" s="126">
        <f t="shared" si="17"/>
        <v>2052.1347000000001</v>
      </c>
      <c r="F45" s="126">
        <f t="shared" si="17"/>
        <v>2163.0609000000004</v>
      </c>
      <c r="G45" s="126">
        <f t="shared" si="17"/>
        <v>2273.9871000000003</v>
      </c>
      <c r="H45" s="126">
        <f t="shared" si="17"/>
        <v>2384.9133000000006</v>
      </c>
    </row>
    <row r="46" spans="1:17" hidden="1" x14ac:dyDescent="0.25">
      <c r="A46" s="109" t="str">
        <f t="shared" si="11"/>
        <v>Maize</v>
      </c>
      <c r="B46" s="126">
        <f t="shared" si="18"/>
        <v>0</v>
      </c>
      <c r="C46" s="126">
        <f t="shared" si="17"/>
        <v>0</v>
      </c>
      <c r="D46" s="126">
        <f t="shared" si="17"/>
        <v>0</v>
      </c>
      <c r="E46" s="126">
        <f t="shared" si="17"/>
        <v>0</v>
      </c>
      <c r="F46" s="126">
        <f t="shared" si="17"/>
        <v>0</v>
      </c>
      <c r="G46" s="126">
        <f t="shared" si="17"/>
        <v>0</v>
      </c>
      <c r="H46" s="126">
        <f t="shared" si="17"/>
        <v>0</v>
      </c>
    </row>
    <row r="47" spans="1:17" hidden="1" x14ac:dyDescent="0.25">
      <c r="A47" s="109" t="str">
        <f t="shared" si="11"/>
        <v>Black Gram/Udid</v>
      </c>
      <c r="B47" s="126">
        <f t="shared" si="18"/>
        <v>0</v>
      </c>
      <c r="C47" s="126">
        <f t="shared" si="17"/>
        <v>0</v>
      </c>
      <c r="D47" s="126">
        <f t="shared" si="17"/>
        <v>0</v>
      </c>
      <c r="E47" s="126">
        <f t="shared" si="17"/>
        <v>0</v>
      </c>
      <c r="F47" s="126">
        <f t="shared" si="17"/>
        <v>0</v>
      </c>
      <c r="G47" s="126">
        <f t="shared" si="17"/>
        <v>0</v>
      </c>
      <c r="H47" s="126">
        <f t="shared" si="17"/>
        <v>0</v>
      </c>
    </row>
    <row r="48" spans="1:17" hidden="1" x14ac:dyDescent="0.25">
      <c r="A48" s="109" t="str">
        <f t="shared" si="11"/>
        <v>Bajra</v>
      </c>
      <c r="B48" s="126">
        <f t="shared" si="18"/>
        <v>0</v>
      </c>
      <c r="C48" s="126">
        <f t="shared" si="17"/>
        <v>0</v>
      </c>
      <c r="D48" s="126">
        <f t="shared" si="17"/>
        <v>0</v>
      </c>
      <c r="E48" s="126">
        <f t="shared" si="17"/>
        <v>0</v>
      </c>
      <c r="F48" s="126">
        <f t="shared" si="17"/>
        <v>0</v>
      </c>
      <c r="G48" s="126">
        <f t="shared" si="17"/>
        <v>0</v>
      </c>
      <c r="H48" s="126">
        <f t="shared" si="17"/>
        <v>0</v>
      </c>
    </row>
    <row r="49" spans="1:12" hidden="1" x14ac:dyDescent="0.25">
      <c r="A49" s="109" t="str">
        <f t="shared" si="11"/>
        <v>Jawar</v>
      </c>
      <c r="B49" s="126">
        <f t="shared" si="18"/>
        <v>0</v>
      </c>
      <c r="C49" s="126">
        <f t="shared" si="17"/>
        <v>0</v>
      </c>
      <c r="D49" s="126">
        <f t="shared" si="17"/>
        <v>0</v>
      </c>
      <c r="E49" s="126">
        <f t="shared" si="17"/>
        <v>0</v>
      </c>
      <c r="F49" s="126">
        <f t="shared" si="17"/>
        <v>0</v>
      </c>
      <c r="G49" s="126">
        <f t="shared" si="17"/>
        <v>0</v>
      </c>
      <c r="H49" s="126">
        <f t="shared" si="17"/>
        <v>0</v>
      </c>
    </row>
    <row r="50" spans="1:12" hidden="1" x14ac:dyDescent="0.25">
      <c r="A50" s="109" t="str">
        <f t="shared" si="11"/>
        <v>Sunflower</v>
      </c>
      <c r="B50" s="126">
        <f t="shared" si="18"/>
        <v>0</v>
      </c>
      <c r="C50" s="126">
        <f t="shared" si="17"/>
        <v>0</v>
      </c>
      <c r="D50" s="126">
        <f t="shared" si="17"/>
        <v>0</v>
      </c>
      <c r="E50" s="126">
        <f t="shared" si="17"/>
        <v>0</v>
      </c>
      <c r="F50" s="126">
        <f t="shared" si="17"/>
        <v>0</v>
      </c>
      <c r="G50" s="126">
        <f t="shared" si="17"/>
        <v>0</v>
      </c>
      <c r="H50" s="126">
        <f t="shared" si="17"/>
        <v>0</v>
      </c>
    </row>
    <row r="51" spans="1:12" hidden="1" x14ac:dyDescent="0.25">
      <c r="A51" s="109" t="str">
        <f t="shared" ref="A51:A58" si="19">B24</f>
        <v>Wheat</v>
      </c>
      <c r="B51" s="126">
        <f t="shared" ref="B51:B58" si="20">H24*$B$40</f>
        <v>0</v>
      </c>
      <c r="C51" s="126">
        <f t="shared" si="17"/>
        <v>0</v>
      </c>
      <c r="D51" s="126">
        <f t="shared" si="17"/>
        <v>0</v>
      </c>
      <c r="E51" s="126">
        <f t="shared" si="17"/>
        <v>0</v>
      </c>
      <c r="F51" s="126">
        <f t="shared" si="17"/>
        <v>0</v>
      </c>
      <c r="G51" s="126">
        <f t="shared" si="17"/>
        <v>0</v>
      </c>
      <c r="H51" s="126">
        <f t="shared" si="17"/>
        <v>0</v>
      </c>
    </row>
    <row r="52" spans="1:12" ht="15.75" thickBot="1" x14ac:dyDescent="0.3">
      <c r="A52" s="109" t="str">
        <f t="shared" si="19"/>
        <v>Bengal Gram/Channa</v>
      </c>
      <c r="B52" s="126">
        <f t="shared" si="20"/>
        <v>5806.6469999999999</v>
      </c>
      <c r="C52" s="126">
        <f t="shared" ref="C52:H61" si="21">(B52/B$40)*C$40</f>
        <v>6387.3117000000002</v>
      </c>
      <c r="D52" s="126">
        <f t="shared" si="21"/>
        <v>6774.4215000000004</v>
      </c>
      <c r="E52" s="126">
        <f t="shared" si="21"/>
        <v>7161.5313000000006</v>
      </c>
      <c r="F52" s="126">
        <f t="shared" si="21"/>
        <v>7548.6411000000007</v>
      </c>
      <c r="G52" s="126">
        <f t="shared" si="21"/>
        <v>7935.7509000000009</v>
      </c>
      <c r="H52" s="126">
        <f t="shared" si="21"/>
        <v>8322.8607000000011</v>
      </c>
      <c r="J52" s="139"/>
      <c r="K52" s="140"/>
      <c r="L52" s="141"/>
    </row>
    <row r="53" spans="1:12" ht="15.75" hidden="1" thickBot="1" x14ac:dyDescent="0.3">
      <c r="A53" s="109" t="str">
        <f t="shared" si="19"/>
        <v>Jawar</v>
      </c>
      <c r="B53" s="126">
        <f t="shared" si="20"/>
        <v>0</v>
      </c>
      <c r="C53" s="126">
        <f t="shared" si="21"/>
        <v>0</v>
      </c>
      <c r="D53" s="126">
        <f t="shared" si="21"/>
        <v>0</v>
      </c>
      <c r="E53" s="126">
        <f t="shared" si="21"/>
        <v>0</v>
      </c>
      <c r="F53" s="126">
        <f t="shared" si="21"/>
        <v>0</v>
      </c>
      <c r="G53" s="126">
        <f t="shared" si="21"/>
        <v>0</v>
      </c>
      <c r="H53" s="126">
        <f t="shared" si="21"/>
        <v>0</v>
      </c>
      <c r="J53" s="139"/>
      <c r="K53" s="140"/>
      <c r="L53" s="141"/>
    </row>
    <row r="54" spans="1:12" ht="15.75" hidden="1" thickBot="1" x14ac:dyDescent="0.3">
      <c r="A54" s="109" t="str">
        <f t="shared" si="19"/>
        <v>Maize</v>
      </c>
      <c r="B54" s="126">
        <f t="shared" si="20"/>
        <v>0</v>
      </c>
      <c r="C54" s="126">
        <f t="shared" si="21"/>
        <v>0</v>
      </c>
      <c r="D54" s="126">
        <f t="shared" si="21"/>
        <v>0</v>
      </c>
      <c r="E54" s="126">
        <f t="shared" si="21"/>
        <v>0</v>
      </c>
      <c r="F54" s="126">
        <f t="shared" si="21"/>
        <v>0</v>
      </c>
      <c r="G54" s="126">
        <f t="shared" si="21"/>
        <v>0</v>
      </c>
      <c r="H54" s="126">
        <f t="shared" si="21"/>
        <v>0</v>
      </c>
      <c r="J54" s="142"/>
      <c r="K54" s="140"/>
      <c r="L54" s="141"/>
    </row>
    <row r="55" spans="1:12" hidden="1" x14ac:dyDescent="0.25">
      <c r="A55" s="109" t="str">
        <f t="shared" si="19"/>
        <v>Safflower</v>
      </c>
      <c r="B55" s="126">
        <f t="shared" si="20"/>
        <v>0</v>
      </c>
      <c r="C55" s="126">
        <f t="shared" si="21"/>
        <v>0</v>
      </c>
      <c r="D55" s="126">
        <f t="shared" si="21"/>
        <v>0</v>
      </c>
      <c r="E55" s="126">
        <f t="shared" si="21"/>
        <v>0</v>
      </c>
      <c r="F55" s="126">
        <f t="shared" si="21"/>
        <v>0</v>
      </c>
      <c r="G55" s="126">
        <f t="shared" si="21"/>
        <v>0</v>
      </c>
      <c r="H55" s="126">
        <f t="shared" si="21"/>
        <v>0</v>
      </c>
    </row>
    <row r="56" spans="1:12" hidden="1" x14ac:dyDescent="0.25">
      <c r="A56" s="109">
        <f t="shared" si="19"/>
        <v>0</v>
      </c>
      <c r="B56" s="126">
        <f t="shared" si="20"/>
        <v>0</v>
      </c>
      <c r="C56" s="126">
        <f t="shared" si="21"/>
        <v>0</v>
      </c>
      <c r="D56" s="126">
        <f t="shared" si="21"/>
        <v>0</v>
      </c>
      <c r="E56" s="126">
        <f t="shared" si="21"/>
        <v>0</v>
      </c>
      <c r="F56" s="126">
        <f t="shared" si="21"/>
        <v>0</v>
      </c>
      <c r="G56" s="126">
        <f t="shared" si="21"/>
        <v>0</v>
      </c>
      <c r="H56" s="126">
        <f t="shared" si="21"/>
        <v>0</v>
      </c>
    </row>
    <row r="57" spans="1:12" hidden="1" x14ac:dyDescent="0.25">
      <c r="A57" s="109">
        <f t="shared" si="19"/>
        <v>0</v>
      </c>
      <c r="B57" s="126">
        <f t="shared" si="20"/>
        <v>0</v>
      </c>
      <c r="C57" s="126">
        <f t="shared" si="21"/>
        <v>0</v>
      </c>
      <c r="D57" s="126">
        <f t="shared" si="21"/>
        <v>0</v>
      </c>
      <c r="E57" s="126">
        <f t="shared" si="21"/>
        <v>0</v>
      </c>
      <c r="F57" s="126">
        <f t="shared" si="21"/>
        <v>0</v>
      </c>
      <c r="G57" s="126">
        <f t="shared" si="21"/>
        <v>0</v>
      </c>
      <c r="H57" s="126">
        <f t="shared" si="21"/>
        <v>0</v>
      </c>
    </row>
    <row r="58" spans="1:12" hidden="1" x14ac:dyDescent="0.25">
      <c r="A58" s="109">
        <f t="shared" si="19"/>
        <v>0</v>
      </c>
      <c r="B58" s="126">
        <f t="shared" si="20"/>
        <v>0</v>
      </c>
      <c r="C58" s="126">
        <f t="shared" si="21"/>
        <v>0</v>
      </c>
      <c r="D58" s="126">
        <f t="shared" si="21"/>
        <v>0</v>
      </c>
      <c r="E58" s="126">
        <f t="shared" si="21"/>
        <v>0</v>
      </c>
      <c r="F58" s="126">
        <f t="shared" si="21"/>
        <v>0</v>
      </c>
      <c r="G58" s="126">
        <f t="shared" si="21"/>
        <v>0</v>
      </c>
      <c r="H58" s="126">
        <f t="shared" si="21"/>
        <v>0</v>
      </c>
    </row>
    <row r="59" spans="1:12" hidden="1" x14ac:dyDescent="0.25">
      <c r="A59" s="109" t="str">
        <f>B33</f>
        <v>Groundnut</v>
      </c>
      <c r="B59" s="126">
        <f>H33*$B$40</f>
        <v>0</v>
      </c>
      <c r="C59" s="126">
        <f t="shared" si="21"/>
        <v>0</v>
      </c>
      <c r="D59" s="126">
        <f t="shared" si="21"/>
        <v>0</v>
      </c>
      <c r="E59" s="126">
        <f t="shared" si="21"/>
        <v>0</v>
      </c>
      <c r="F59" s="126">
        <f t="shared" si="21"/>
        <v>0</v>
      </c>
      <c r="G59" s="126">
        <f t="shared" si="21"/>
        <v>0</v>
      </c>
      <c r="H59" s="126">
        <f t="shared" si="21"/>
        <v>0</v>
      </c>
    </row>
    <row r="60" spans="1:12" hidden="1" x14ac:dyDescent="0.25">
      <c r="A60" s="109">
        <f>B34</f>
        <v>0</v>
      </c>
      <c r="B60" s="126">
        <f>H34*$B$40</f>
        <v>0</v>
      </c>
      <c r="C60" s="126">
        <f t="shared" si="21"/>
        <v>0</v>
      </c>
      <c r="D60" s="126">
        <f t="shared" si="21"/>
        <v>0</v>
      </c>
      <c r="E60" s="126">
        <f t="shared" si="21"/>
        <v>0</v>
      </c>
      <c r="F60" s="126">
        <f t="shared" si="21"/>
        <v>0</v>
      </c>
      <c r="G60" s="126">
        <f t="shared" si="21"/>
        <v>0</v>
      </c>
      <c r="H60" s="126">
        <f t="shared" si="21"/>
        <v>0</v>
      </c>
    </row>
    <row r="61" spans="1:12" hidden="1" x14ac:dyDescent="0.25">
      <c r="A61" s="109">
        <f>B35</f>
        <v>0</v>
      </c>
      <c r="B61" s="126">
        <f>H35*$B$40</f>
        <v>0</v>
      </c>
      <c r="C61" s="126">
        <f t="shared" si="21"/>
        <v>0</v>
      </c>
      <c r="D61" s="126">
        <f t="shared" si="21"/>
        <v>0</v>
      </c>
      <c r="E61" s="126">
        <f t="shared" si="21"/>
        <v>0</v>
      </c>
      <c r="F61" s="126">
        <f t="shared" si="21"/>
        <v>0</v>
      </c>
      <c r="G61" s="126">
        <f t="shared" si="21"/>
        <v>0</v>
      </c>
      <c r="H61" s="126">
        <f t="shared" si="21"/>
        <v>0</v>
      </c>
    </row>
    <row r="62" spans="1:12" hidden="1" x14ac:dyDescent="0.25">
      <c r="A62" s="109">
        <f>B36</f>
        <v>0</v>
      </c>
      <c r="B62" s="126">
        <f>H36*$B$40</f>
        <v>0</v>
      </c>
      <c r="C62" s="126">
        <f t="shared" ref="C62:H62" si="22">(B62/B$40)*C$40</f>
        <v>0</v>
      </c>
      <c r="D62" s="126">
        <f t="shared" si="22"/>
        <v>0</v>
      </c>
      <c r="E62" s="126">
        <f t="shared" si="22"/>
        <v>0</v>
      </c>
      <c r="F62" s="126">
        <f t="shared" si="22"/>
        <v>0</v>
      </c>
      <c r="G62" s="126">
        <f t="shared" si="22"/>
        <v>0</v>
      </c>
      <c r="H62" s="126">
        <f t="shared" si="22"/>
        <v>0</v>
      </c>
    </row>
    <row r="63" spans="1:12" hidden="1" x14ac:dyDescent="0.25"/>
    <row r="64" spans="1:12" ht="18.75" x14ac:dyDescent="0.3">
      <c r="A64" s="541" t="s">
        <v>569</v>
      </c>
      <c r="B64" s="542"/>
      <c r="C64" s="542"/>
      <c r="D64" s="542"/>
      <c r="E64" s="542"/>
      <c r="F64" s="542"/>
      <c r="G64" s="542"/>
      <c r="H64" s="543"/>
    </row>
    <row r="65" spans="1:11" hidden="1" x14ac:dyDescent="0.25">
      <c r="A65" s="535" t="s">
        <v>0</v>
      </c>
      <c r="B65" s="146">
        <v>0.2</v>
      </c>
      <c r="C65" s="147">
        <f>B65+0.05</f>
        <v>0.25</v>
      </c>
      <c r="D65" s="147">
        <f t="shared" ref="D65:H65" si="23">C65+0.05</f>
        <v>0.3</v>
      </c>
      <c r="E65" s="147">
        <f t="shared" si="23"/>
        <v>0.35</v>
      </c>
      <c r="F65" s="147">
        <f t="shared" si="23"/>
        <v>0.39999999999999997</v>
      </c>
      <c r="G65" s="147">
        <f t="shared" si="23"/>
        <v>0.44999999999999996</v>
      </c>
      <c r="H65" s="147">
        <f t="shared" si="23"/>
        <v>0.49999999999999994</v>
      </c>
    </row>
    <row r="66" spans="1:11" hidden="1" x14ac:dyDescent="0.25">
      <c r="A66" s="536"/>
      <c r="B66" s="107" t="s">
        <v>2</v>
      </c>
      <c r="C66" s="107" t="s">
        <v>3</v>
      </c>
      <c r="D66" s="107" t="s">
        <v>4</v>
      </c>
      <c r="E66" s="107" t="s">
        <v>5</v>
      </c>
      <c r="F66" s="107" t="s">
        <v>6</v>
      </c>
      <c r="G66" s="107" t="s">
        <v>168</v>
      </c>
      <c r="H66" s="107" t="s">
        <v>167</v>
      </c>
    </row>
    <row r="67" spans="1:11" s="144" customFormat="1" hidden="1" x14ac:dyDescent="0.25">
      <c r="A67" s="109"/>
      <c r="B67" s="126">
        <f>H14*B65*0</f>
        <v>0</v>
      </c>
      <c r="C67" s="148">
        <f>(B67/B$65)*C$65</f>
        <v>0</v>
      </c>
      <c r="D67" s="148">
        <f t="shared" ref="D67:H67" si="24">(C67/C$65)*D$65</f>
        <v>0</v>
      </c>
      <c r="E67" s="148">
        <f t="shared" si="24"/>
        <v>0</v>
      </c>
      <c r="F67" s="148">
        <f t="shared" si="24"/>
        <v>0</v>
      </c>
      <c r="G67" s="148">
        <f t="shared" si="24"/>
        <v>0</v>
      </c>
      <c r="H67" s="148">
        <f t="shared" si="24"/>
        <v>0</v>
      </c>
    </row>
    <row r="68" spans="1:11" s="144" customFormat="1" hidden="1" x14ac:dyDescent="0.25">
      <c r="A68" s="109"/>
      <c r="B68" s="126"/>
      <c r="C68" s="148"/>
      <c r="D68" s="126"/>
      <c r="E68" s="126"/>
      <c r="F68" s="126"/>
      <c r="G68" s="126"/>
      <c r="H68" s="126"/>
    </row>
    <row r="69" spans="1:11" s="144" customFormat="1" x14ac:dyDescent="0.25">
      <c r="A69" s="535" t="s">
        <v>0</v>
      </c>
      <c r="B69" s="146">
        <v>0.25</v>
      </c>
      <c r="C69" s="147">
        <f>B69+3%</f>
        <v>0.28000000000000003</v>
      </c>
      <c r="D69" s="147">
        <f t="shared" ref="D69:H69" si="25">C69+3%</f>
        <v>0.31000000000000005</v>
      </c>
      <c r="E69" s="147">
        <f t="shared" si="25"/>
        <v>0.34000000000000008</v>
      </c>
      <c r="F69" s="147">
        <f t="shared" si="25"/>
        <v>0.37000000000000011</v>
      </c>
      <c r="G69" s="147">
        <f t="shared" si="25"/>
        <v>0.40000000000000013</v>
      </c>
      <c r="H69" s="147">
        <f t="shared" si="25"/>
        <v>0.43000000000000016</v>
      </c>
    </row>
    <row r="70" spans="1:11" s="144" customFormat="1" x14ac:dyDescent="0.25">
      <c r="A70" s="536"/>
      <c r="B70" s="107" t="s">
        <v>2</v>
      </c>
      <c r="C70" s="107" t="s">
        <v>3</v>
      </c>
      <c r="D70" s="107" t="s">
        <v>4</v>
      </c>
      <c r="E70" s="107" t="s">
        <v>5</v>
      </c>
      <c r="F70" s="107" t="s">
        <v>6</v>
      </c>
      <c r="G70" s="107" t="s">
        <v>168</v>
      </c>
      <c r="H70" s="107" t="s">
        <v>167</v>
      </c>
      <c r="K70" s="144">
        <v>20</v>
      </c>
    </row>
    <row r="71" spans="1:11" x14ac:dyDescent="0.25">
      <c r="A71" s="109" t="str">
        <f t="shared" ref="A71:A90" si="26">A43</f>
        <v>Red Gram/Tur</v>
      </c>
      <c r="B71" s="126">
        <f>H15*$B$69</f>
        <v>5130.3367499999995</v>
      </c>
      <c r="C71" s="148">
        <f>(B71/B$69)*C$69</f>
        <v>5745.9771600000004</v>
      </c>
      <c r="D71" s="148">
        <f t="shared" ref="D71:H71" si="27">(C71/C$69)*D$69</f>
        <v>6361.6175700000003</v>
      </c>
      <c r="E71" s="148">
        <f t="shared" si="27"/>
        <v>6977.2579800000012</v>
      </c>
      <c r="F71" s="148">
        <f t="shared" si="27"/>
        <v>7592.8983900000012</v>
      </c>
      <c r="G71" s="148">
        <f t="shared" si="27"/>
        <v>8208.5388000000021</v>
      </c>
      <c r="H71" s="148">
        <f t="shared" si="27"/>
        <v>8824.1792100000021</v>
      </c>
      <c r="K71" s="104">
        <v>30</v>
      </c>
    </row>
    <row r="72" spans="1:11" hidden="1" x14ac:dyDescent="0.25">
      <c r="A72" s="109" t="str">
        <f t="shared" si="26"/>
        <v>Paddy/Rice</v>
      </c>
      <c r="B72" s="126">
        <f>H16*$B$65</f>
        <v>0</v>
      </c>
      <c r="C72" s="148">
        <f t="shared" ref="C72:H79" si="28">(B72/B$65)*C$65</f>
        <v>0</v>
      </c>
      <c r="D72" s="148">
        <f t="shared" si="28"/>
        <v>0</v>
      </c>
      <c r="E72" s="148">
        <f t="shared" si="28"/>
        <v>0</v>
      </c>
      <c r="F72" s="148">
        <f t="shared" si="28"/>
        <v>0</v>
      </c>
      <c r="G72" s="148">
        <f t="shared" si="28"/>
        <v>0</v>
      </c>
      <c r="H72" s="148">
        <f t="shared" si="28"/>
        <v>0</v>
      </c>
    </row>
    <row r="73" spans="1:11" x14ac:dyDescent="0.25">
      <c r="A73" s="109" t="str">
        <f t="shared" si="26"/>
        <v>Green Gram/ Moong</v>
      </c>
      <c r="B73" s="126">
        <f>H17*$B$69</f>
        <v>1386.5775000000001</v>
      </c>
      <c r="C73" s="148">
        <f>(B73/B$69)*C$69</f>
        <v>1552.9668000000001</v>
      </c>
      <c r="D73" s="148">
        <f t="shared" ref="D73:H73" si="29">(C73/C$69)*D$69</f>
        <v>1719.3561000000004</v>
      </c>
      <c r="E73" s="148">
        <f t="shared" si="29"/>
        <v>1885.7454000000005</v>
      </c>
      <c r="F73" s="148">
        <f t="shared" si="29"/>
        <v>2052.1347000000005</v>
      </c>
      <c r="G73" s="148">
        <f t="shared" si="29"/>
        <v>2218.5240000000003</v>
      </c>
      <c r="H73" s="148">
        <f t="shared" si="29"/>
        <v>2384.9133000000002</v>
      </c>
    </row>
    <row r="74" spans="1:11" hidden="1" x14ac:dyDescent="0.25">
      <c r="A74" s="109" t="str">
        <f t="shared" si="26"/>
        <v>Maize</v>
      </c>
      <c r="B74" s="126">
        <f>H18*$B$65</f>
        <v>0</v>
      </c>
      <c r="C74" s="148">
        <f t="shared" si="28"/>
        <v>0</v>
      </c>
      <c r="D74" s="148">
        <f t="shared" si="28"/>
        <v>0</v>
      </c>
      <c r="E74" s="148">
        <f t="shared" si="28"/>
        <v>0</v>
      </c>
      <c r="F74" s="148">
        <f t="shared" si="28"/>
        <v>0</v>
      </c>
      <c r="G74" s="148">
        <f t="shared" si="28"/>
        <v>0</v>
      </c>
      <c r="H74" s="148">
        <f t="shared" si="28"/>
        <v>0</v>
      </c>
    </row>
    <row r="75" spans="1:11" hidden="1" x14ac:dyDescent="0.25">
      <c r="A75" s="109" t="str">
        <f t="shared" si="26"/>
        <v>Black Gram/Udid</v>
      </c>
      <c r="B75" s="126">
        <f>H19*$B$65</f>
        <v>0</v>
      </c>
      <c r="C75" s="148">
        <f t="shared" ref="C75:H75" si="30">(B75/B$65)*C$65</f>
        <v>0</v>
      </c>
      <c r="D75" s="148">
        <f t="shared" si="30"/>
        <v>0</v>
      </c>
      <c r="E75" s="148">
        <f t="shared" si="30"/>
        <v>0</v>
      </c>
      <c r="F75" s="148">
        <f t="shared" si="30"/>
        <v>0</v>
      </c>
      <c r="G75" s="148">
        <f t="shared" si="30"/>
        <v>0</v>
      </c>
      <c r="H75" s="148">
        <f t="shared" si="30"/>
        <v>0</v>
      </c>
    </row>
    <row r="76" spans="1:11" hidden="1" x14ac:dyDescent="0.25">
      <c r="A76" s="109" t="str">
        <f t="shared" si="26"/>
        <v>Bajra</v>
      </c>
      <c r="B76" s="126">
        <f>H20*$B$65</f>
        <v>0</v>
      </c>
      <c r="C76" s="148">
        <f t="shared" si="28"/>
        <v>0</v>
      </c>
      <c r="D76" s="148">
        <f t="shared" si="28"/>
        <v>0</v>
      </c>
      <c r="E76" s="148">
        <f t="shared" si="28"/>
        <v>0</v>
      </c>
      <c r="F76" s="148">
        <f t="shared" si="28"/>
        <v>0</v>
      </c>
      <c r="G76" s="148">
        <f t="shared" si="28"/>
        <v>0</v>
      </c>
      <c r="H76" s="148">
        <f t="shared" si="28"/>
        <v>0</v>
      </c>
    </row>
    <row r="77" spans="1:11" hidden="1" x14ac:dyDescent="0.25">
      <c r="A77" s="109" t="str">
        <f t="shared" si="26"/>
        <v>Jawar</v>
      </c>
      <c r="B77" s="126">
        <f>H21*$B$65</f>
        <v>0</v>
      </c>
      <c r="C77" s="148">
        <f t="shared" si="28"/>
        <v>0</v>
      </c>
      <c r="D77" s="148">
        <f t="shared" si="28"/>
        <v>0</v>
      </c>
      <c r="E77" s="148">
        <f t="shared" si="28"/>
        <v>0</v>
      </c>
      <c r="F77" s="148">
        <f t="shared" si="28"/>
        <v>0</v>
      </c>
      <c r="G77" s="148">
        <f t="shared" si="28"/>
        <v>0</v>
      </c>
      <c r="H77" s="148">
        <f t="shared" si="28"/>
        <v>0</v>
      </c>
    </row>
    <row r="78" spans="1:11" hidden="1" x14ac:dyDescent="0.25">
      <c r="A78" s="109" t="str">
        <f t="shared" si="26"/>
        <v>Sunflower</v>
      </c>
      <c r="B78" s="126">
        <f>H22*$B$65</f>
        <v>0</v>
      </c>
      <c r="C78" s="148">
        <f t="shared" si="28"/>
        <v>0</v>
      </c>
      <c r="D78" s="148">
        <f t="shared" si="28"/>
        <v>0</v>
      </c>
      <c r="E78" s="148">
        <f t="shared" si="28"/>
        <v>0</v>
      </c>
      <c r="F78" s="148">
        <f t="shared" si="28"/>
        <v>0</v>
      </c>
      <c r="G78" s="148">
        <f t="shared" si="28"/>
        <v>0</v>
      </c>
      <c r="H78" s="148">
        <f t="shared" si="28"/>
        <v>0</v>
      </c>
    </row>
    <row r="79" spans="1:11" hidden="1" x14ac:dyDescent="0.25">
      <c r="A79" s="109" t="str">
        <f t="shared" si="26"/>
        <v>Wheat</v>
      </c>
      <c r="B79" s="126">
        <f>H24*$B$65</f>
        <v>0</v>
      </c>
      <c r="C79" s="148">
        <f t="shared" si="28"/>
        <v>0</v>
      </c>
      <c r="D79" s="148">
        <f t="shared" si="28"/>
        <v>0</v>
      </c>
      <c r="E79" s="148">
        <f t="shared" si="28"/>
        <v>0</v>
      </c>
      <c r="F79" s="148">
        <f t="shared" si="28"/>
        <v>0</v>
      </c>
      <c r="G79" s="148">
        <f t="shared" si="28"/>
        <v>0</v>
      </c>
      <c r="H79" s="148">
        <f t="shared" si="28"/>
        <v>0</v>
      </c>
    </row>
    <row r="80" spans="1:11" x14ac:dyDescent="0.25">
      <c r="A80" s="109" t="str">
        <f t="shared" si="26"/>
        <v>Bengal Gram/Channa</v>
      </c>
      <c r="B80" s="126">
        <f>H25*$B$69</f>
        <v>4838.8725000000004</v>
      </c>
      <c r="C80" s="148">
        <f>(B80/B$69)*C$69</f>
        <v>5419.5372000000007</v>
      </c>
      <c r="D80" s="148">
        <f t="shared" ref="D80:H80" si="31">(C80/C$69)*D$69</f>
        <v>6000.2019000000018</v>
      </c>
      <c r="E80" s="148">
        <f t="shared" si="31"/>
        <v>6580.8666000000021</v>
      </c>
      <c r="F80" s="148">
        <f t="shared" si="31"/>
        <v>7161.5313000000024</v>
      </c>
      <c r="G80" s="148">
        <f t="shared" si="31"/>
        <v>7742.1960000000036</v>
      </c>
      <c r="H80" s="148">
        <f t="shared" si="31"/>
        <v>8322.8607000000029</v>
      </c>
    </row>
    <row r="81" spans="1:9" hidden="1" x14ac:dyDescent="0.25">
      <c r="A81" s="109" t="str">
        <f t="shared" si="26"/>
        <v>Jawar</v>
      </c>
      <c r="B81" s="109">
        <f t="shared" ref="B81:B86" si="32">H26*$B$65</f>
        <v>0</v>
      </c>
      <c r="C81" s="109">
        <f t="shared" ref="C81:H81" si="33">(B81/B$65)*C$65</f>
        <v>0</v>
      </c>
      <c r="D81" s="109">
        <f t="shared" si="33"/>
        <v>0</v>
      </c>
      <c r="E81" s="109">
        <f t="shared" si="33"/>
        <v>0</v>
      </c>
      <c r="F81" s="109">
        <f t="shared" si="33"/>
        <v>0</v>
      </c>
      <c r="G81" s="109">
        <f t="shared" si="33"/>
        <v>0</v>
      </c>
      <c r="H81" s="109">
        <f t="shared" si="33"/>
        <v>0</v>
      </c>
    </row>
    <row r="82" spans="1:9" hidden="1" x14ac:dyDescent="0.25">
      <c r="A82" s="109" t="str">
        <f t="shared" si="26"/>
        <v>Maize</v>
      </c>
      <c r="B82" s="109">
        <f t="shared" si="32"/>
        <v>0</v>
      </c>
      <c r="C82" s="109">
        <f t="shared" ref="C82:H82" si="34">(B82/B$65)*C$65</f>
        <v>0</v>
      </c>
      <c r="D82" s="109">
        <f t="shared" si="34"/>
        <v>0</v>
      </c>
      <c r="E82" s="109">
        <f t="shared" si="34"/>
        <v>0</v>
      </c>
      <c r="F82" s="109">
        <f t="shared" si="34"/>
        <v>0</v>
      </c>
      <c r="G82" s="109">
        <f t="shared" si="34"/>
        <v>0</v>
      </c>
      <c r="H82" s="109">
        <f t="shared" si="34"/>
        <v>0</v>
      </c>
    </row>
    <row r="83" spans="1:9" hidden="1" x14ac:dyDescent="0.25">
      <c r="A83" s="109" t="str">
        <f t="shared" si="26"/>
        <v>Safflower</v>
      </c>
      <c r="B83" s="109">
        <f t="shared" si="32"/>
        <v>0</v>
      </c>
      <c r="C83" s="109">
        <f t="shared" ref="C83:H83" si="35">(B83/B$65)*C$65</f>
        <v>0</v>
      </c>
      <c r="D83" s="109">
        <f t="shared" si="35"/>
        <v>0</v>
      </c>
      <c r="E83" s="109">
        <f t="shared" si="35"/>
        <v>0</v>
      </c>
      <c r="F83" s="109">
        <f t="shared" si="35"/>
        <v>0</v>
      </c>
      <c r="G83" s="109">
        <f t="shared" si="35"/>
        <v>0</v>
      </c>
      <c r="H83" s="109">
        <f t="shared" si="35"/>
        <v>0</v>
      </c>
    </row>
    <row r="84" spans="1:9" hidden="1" x14ac:dyDescent="0.25">
      <c r="A84" s="109">
        <f t="shared" si="26"/>
        <v>0</v>
      </c>
      <c r="B84" s="109">
        <f t="shared" si="32"/>
        <v>0</v>
      </c>
      <c r="C84" s="109">
        <f t="shared" ref="C84:H84" si="36">(B84/B$65)*C$65</f>
        <v>0</v>
      </c>
      <c r="D84" s="109">
        <f t="shared" si="36"/>
        <v>0</v>
      </c>
      <c r="E84" s="109">
        <f t="shared" si="36"/>
        <v>0</v>
      </c>
      <c r="F84" s="109">
        <f t="shared" si="36"/>
        <v>0</v>
      </c>
      <c r="G84" s="109">
        <f t="shared" si="36"/>
        <v>0</v>
      </c>
      <c r="H84" s="109">
        <f t="shared" si="36"/>
        <v>0</v>
      </c>
    </row>
    <row r="85" spans="1:9" hidden="1" x14ac:dyDescent="0.25">
      <c r="A85" s="109">
        <f t="shared" si="26"/>
        <v>0</v>
      </c>
      <c r="B85" s="109">
        <f t="shared" si="32"/>
        <v>0</v>
      </c>
      <c r="C85" s="109">
        <f t="shared" ref="C85:H85" si="37">(B85/B$65)*C$65</f>
        <v>0</v>
      </c>
      <c r="D85" s="109">
        <f t="shared" si="37"/>
        <v>0</v>
      </c>
      <c r="E85" s="109">
        <f t="shared" si="37"/>
        <v>0</v>
      </c>
      <c r="F85" s="109">
        <f t="shared" si="37"/>
        <v>0</v>
      </c>
      <c r="G85" s="109">
        <f t="shared" si="37"/>
        <v>0</v>
      </c>
      <c r="H85" s="109">
        <f t="shared" si="37"/>
        <v>0</v>
      </c>
    </row>
    <row r="86" spans="1:9" hidden="1" x14ac:dyDescent="0.25">
      <c r="A86" s="109">
        <f t="shared" si="26"/>
        <v>0</v>
      </c>
      <c r="B86" s="109">
        <f t="shared" si="32"/>
        <v>0</v>
      </c>
      <c r="C86" s="109">
        <f t="shared" ref="C86:H86" si="38">(B86/B$65)*C$65</f>
        <v>0</v>
      </c>
      <c r="D86" s="109">
        <f t="shared" si="38"/>
        <v>0</v>
      </c>
      <c r="E86" s="109">
        <f t="shared" si="38"/>
        <v>0</v>
      </c>
      <c r="F86" s="109">
        <f t="shared" si="38"/>
        <v>0</v>
      </c>
      <c r="G86" s="109">
        <f t="shared" si="38"/>
        <v>0</v>
      </c>
      <c r="H86" s="109">
        <f t="shared" si="38"/>
        <v>0</v>
      </c>
    </row>
    <row r="87" spans="1:9" hidden="1" x14ac:dyDescent="0.25">
      <c r="A87" s="109" t="str">
        <f t="shared" si="26"/>
        <v>Groundnut</v>
      </c>
      <c r="B87" s="109">
        <f>H33*$B$65</f>
        <v>0</v>
      </c>
      <c r="C87" s="109">
        <f t="shared" ref="C87:H87" si="39">(B87/B$65)*C$65</f>
        <v>0</v>
      </c>
      <c r="D87" s="109">
        <f t="shared" si="39"/>
        <v>0</v>
      </c>
      <c r="E87" s="109">
        <f t="shared" si="39"/>
        <v>0</v>
      </c>
      <c r="F87" s="109">
        <f t="shared" si="39"/>
        <v>0</v>
      </c>
      <c r="G87" s="109">
        <f t="shared" si="39"/>
        <v>0</v>
      </c>
      <c r="H87" s="109">
        <f t="shared" si="39"/>
        <v>0</v>
      </c>
    </row>
    <row r="88" spans="1:9" hidden="1" x14ac:dyDescent="0.25">
      <c r="A88" s="109">
        <f t="shared" si="26"/>
        <v>0</v>
      </c>
      <c r="B88" s="109">
        <f>H34*$B$65</f>
        <v>0</v>
      </c>
      <c r="C88" s="109">
        <f t="shared" ref="C88:H88" si="40">(B88/B$65)*C$65</f>
        <v>0</v>
      </c>
      <c r="D88" s="109">
        <f t="shared" si="40"/>
        <v>0</v>
      </c>
      <c r="E88" s="109">
        <f t="shared" si="40"/>
        <v>0</v>
      </c>
      <c r="F88" s="109">
        <f t="shared" si="40"/>
        <v>0</v>
      </c>
      <c r="G88" s="109">
        <f t="shared" si="40"/>
        <v>0</v>
      </c>
      <c r="H88" s="109">
        <f t="shared" si="40"/>
        <v>0</v>
      </c>
    </row>
    <row r="89" spans="1:9" hidden="1" x14ac:dyDescent="0.25">
      <c r="A89" s="109">
        <f t="shared" si="26"/>
        <v>0</v>
      </c>
      <c r="B89" s="109">
        <f>H35*$B$65</f>
        <v>0</v>
      </c>
      <c r="C89" s="109">
        <f t="shared" ref="C89:H89" si="41">(B89/B$65)*C$65</f>
        <v>0</v>
      </c>
      <c r="D89" s="109">
        <f t="shared" si="41"/>
        <v>0</v>
      </c>
      <c r="E89" s="109">
        <f t="shared" si="41"/>
        <v>0</v>
      </c>
      <c r="F89" s="109">
        <f t="shared" si="41"/>
        <v>0</v>
      </c>
      <c r="G89" s="109">
        <f t="shared" si="41"/>
        <v>0</v>
      </c>
      <c r="H89" s="109">
        <f t="shared" si="41"/>
        <v>0</v>
      </c>
    </row>
    <row r="90" spans="1:9" hidden="1" x14ac:dyDescent="0.25">
      <c r="A90" s="109">
        <f t="shared" si="26"/>
        <v>0</v>
      </c>
      <c r="B90" s="109">
        <f>H36*$B$65</f>
        <v>0</v>
      </c>
      <c r="C90" s="109">
        <f t="shared" ref="C90:H90" si="42">(B90/B$65)*C$65</f>
        <v>0</v>
      </c>
      <c r="D90" s="109">
        <f t="shared" si="42"/>
        <v>0</v>
      </c>
      <c r="E90" s="109">
        <f t="shared" si="42"/>
        <v>0</v>
      </c>
      <c r="F90" s="109">
        <f t="shared" si="42"/>
        <v>0</v>
      </c>
      <c r="G90" s="109">
        <f t="shared" si="42"/>
        <v>0</v>
      </c>
      <c r="H90" s="109">
        <f t="shared" si="42"/>
        <v>0</v>
      </c>
    </row>
    <row r="91" spans="1:9" x14ac:dyDescent="0.25">
      <c r="B91" s="145"/>
      <c r="C91" s="145"/>
      <c r="D91" s="145"/>
      <c r="E91" s="145"/>
      <c r="F91" s="145"/>
      <c r="G91" s="145"/>
      <c r="H91" s="145"/>
      <c r="I91" s="145"/>
    </row>
    <row r="92" spans="1:9" x14ac:dyDescent="0.25">
      <c r="A92" s="524" t="s">
        <v>570</v>
      </c>
      <c r="B92" s="525"/>
      <c r="C92" s="525"/>
      <c r="D92" s="525"/>
      <c r="E92" s="525"/>
      <c r="F92" s="525"/>
      <c r="G92" s="525"/>
      <c r="H92" s="526"/>
    </row>
    <row r="93" spans="1:9" x14ac:dyDescent="0.25">
      <c r="A93" s="528" t="s">
        <v>0</v>
      </c>
      <c r="B93" s="146">
        <v>9.9999999999999995E-8</v>
      </c>
      <c r="C93" s="147">
        <f>B93+0.00001</f>
        <v>1.0100000000000002E-5</v>
      </c>
      <c r="D93" s="147">
        <f t="shared" ref="D93:H93" si="43">C93+0.00001</f>
        <v>2.0100000000000001E-5</v>
      </c>
      <c r="E93" s="147">
        <f t="shared" si="43"/>
        <v>3.01E-5</v>
      </c>
      <c r="F93" s="147">
        <f t="shared" si="43"/>
        <v>4.0099999999999999E-5</v>
      </c>
      <c r="G93" s="147">
        <f t="shared" si="43"/>
        <v>5.0099999999999998E-5</v>
      </c>
      <c r="H93" s="147">
        <f t="shared" si="43"/>
        <v>6.0099999999999997E-5</v>
      </c>
    </row>
    <row r="94" spans="1:9" x14ac:dyDescent="0.25">
      <c r="A94" s="529"/>
      <c r="B94" s="107" t="s">
        <v>2</v>
      </c>
      <c r="C94" s="107" t="s">
        <v>3</v>
      </c>
      <c r="D94" s="107" t="s">
        <v>4</v>
      </c>
      <c r="E94" s="107" t="s">
        <v>5</v>
      </c>
      <c r="F94" s="107" t="s">
        <v>6</v>
      </c>
      <c r="G94" s="107" t="s">
        <v>168</v>
      </c>
      <c r="H94" s="107" t="s">
        <v>167</v>
      </c>
    </row>
    <row r="95" spans="1:9" s="144" customFormat="1" hidden="1" x14ac:dyDescent="0.25">
      <c r="A95" s="109">
        <f>A67</f>
        <v>0</v>
      </c>
      <c r="B95" s="451">
        <f>D14*$B$93*0</f>
        <v>0</v>
      </c>
      <c r="C95" s="451">
        <f>(B95/B$93)*C$93</f>
        <v>0</v>
      </c>
      <c r="D95" s="451">
        <f t="shared" ref="D95:H95" si="44">(C95/C$93)*D$93</f>
        <v>0</v>
      </c>
      <c r="E95" s="451">
        <f t="shared" si="44"/>
        <v>0</v>
      </c>
      <c r="F95" s="451">
        <f t="shared" si="44"/>
        <v>0</v>
      </c>
      <c r="G95" s="451">
        <f t="shared" si="44"/>
        <v>0</v>
      </c>
      <c r="H95" s="451">
        <f t="shared" si="44"/>
        <v>0</v>
      </c>
    </row>
    <row r="96" spans="1:9" hidden="1" x14ac:dyDescent="0.25">
      <c r="A96" s="109" t="str">
        <f t="shared" ref="A96:A105" si="45">A71</f>
        <v>Red Gram/Tur</v>
      </c>
      <c r="B96" s="451">
        <f t="shared" ref="B96:B108" si="46">D15*$B$93*0</f>
        <v>0</v>
      </c>
      <c r="C96" s="451">
        <f t="shared" ref="C96:C116" si="47">(B96/B$93)*C$93</f>
        <v>0</v>
      </c>
      <c r="D96" s="451">
        <f>(C96/C93)*D93</f>
        <v>0</v>
      </c>
      <c r="E96" s="451">
        <f t="shared" ref="E96:G96" si="48">(D96/D93)*E93</f>
        <v>0</v>
      </c>
      <c r="F96" s="451">
        <f t="shared" si="48"/>
        <v>0</v>
      </c>
      <c r="G96" s="451">
        <f t="shared" si="48"/>
        <v>0</v>
      </c>
      <c r="H96" s="451">
        <f>(G96/G93)*H93</f>
        <v>0</v>
      </c>
    </row>
    <row r="97" spans="1:8" hidden="1" x14ac:dyDescent="0.25">
      <c r="A97" s="109" t="str">
        <f t="shared" si="45"/>
        <v>Paddy/Rice</v>
      </c>
      <c r="B97" s="451">
        <f t="shared" si="46"/>
        <v>0</v>
      </c>
      <c r="C97" s="451">
        <f t="shared" si="47"/>
        <v>0</v>
      </c>
      <c r="D97" s="451">
        <f t="shared" ref="D97:H106" si="49">(C97/C$93)*D$93</f>
        <v>0</v>
      </c>
      <c r="E97" s="451">
        <f t="shared" si="49"/>
        <v>0</v>
      </c>
      <c r="F97" s="451">
        <f t="shared" si="49"/>
        <v>0</v>
      </c>
      <c r="G97" s="451">
        <f t="shared" si="49"/>
        <v>0</v>
      </c>
      <c r="H97" s="451">
        <f t="shared" si="49"/>
        <v>0</v>
      </c>
    </row>
    <row r="98" spans="1:8" hidden="1" x14ac:dyDescent="0.25">
      <c r="A98" s="109" t="str">
        <f t="shared" si="45"/>
        <v>Green Gram/ Moong</v>
      </c>
      <c r="B98" s="451">
        <f t="shared" si="46"/>
        <v>0</v>
      </c>
      <c r="C98" s="451">
        <f t="shared" si="47"/>
        <v>0</v>
      </c>
      <c r="D98" s="451">
        <f t="shared" si="49"/>
        <v>0</v>
      </c>
      <c r="E98" s="451">
        <f t="shared" si="49"/>
        <v>0</v>
      </c>
      <c r="F98" s="451">
        <f t="shared" si="49"/>
        <v>0</v>
      </c>
      <c r="G98" s="451">
        <f t="shared" si="49"/>
        <v>0</v>
      </c>
      <c r="H98" s="451">
        <f t="shared" si="49"/>
        <v>0</v>
      </c>
    </row>
    <row r="99" spans="1:8" hidden="1" x14ac:dyDescent="0.25">
      <c r="A99" s="109" t="str">
        <f t="shared" si="45"/>
        <v>Maize</v>
      </c>
      <c r="B99" s="451">
        <f t="shared" si="46"/>
        <v>0</v>
      </c>
      <c r="C99" s="451">
        <f t="shared" si="47"/>
        <v>0</v>
      </c>
      <c r="D99" s="451">
        <f t="shared" si="49"/>
        <v>0</v>
      </c>
      <c r="E99" s="451">
        <f t="shared" si="49"/>
        <v>0</v>
      </c>
      <c r="F99" s="451">
        <f t="shared" si="49"/>
        <v>0</v>
      </c>
      <c r="G99" s="451">
        <f t="shared" si="49"/>
        <v>0</v>
      </c>
      <c r="H99" s="451">
        <f t="shared" si="49"/>
        <v>0</v>
      </c>
    </row>
    <row r="100" spans="1:8" hidden="1" x14ac:dyDescent="0.25">
      <c r="A100" s="109" t="str">
        <f t="shared" si="45"/>
        <v>Black Gram/Udid</v>
      </c>
      <c r="B100" s="451">
        <f t="shared" si="46"/>
        <v>0</v>
      </c>
      <c r="C100" s="451">
        <f t="shared" si="47"/>
        <v>0</v>
      </c>
      <c r="D100" s="451">
        <f t="shared" si="49"/>
        <v>0</v>
      </c>
      <c r="E100" s="451">
        <f t="shared" si="49"/>
        <v>0</v>
      </c>
      <c r="F100" s="451">
        <f t="shared" si="49"/>
        <v>0</v>
      </c>
      <c r="G100" s="451">
        <f t="shared" si="49"/>
        <v>0</v>
      </c>
      <c r="H100" s="451">
        <f t="shared" si="49"/>
        <v>0</v>
      </c>
    </row>
    <row r="101" spans="1:8" hidden="1" x14ac:dyDescent="0.25">
      <c r="A101" s="109" t="str">
        <f t="shared" si="45"/>
        <v>Bajra</v>
      </c>
      <c r="B101" s="451">
        <f t="shared" si="46"/>
        <v>0</v>
      </c>
      <c r="C101" s="451">
        <f t="shared" si="47"/>
        <v>0</v>
      </c>
      <c r="D101" s="451">
        <f t="shared" si="49"/>
        <v>0</v>
      </c>
      <c r="E101" s="451">
        <f t="shared" si="49"/>
        <v>0</v>
      </c>
      <c r="F101" s="451">
        <f t="shared" si="49"/>
        <v>0</v>
      </c>
      <c r="G101" s="451">
        <f t="shared" si="49"/>
        <v>0</v>
      </c>
      <c r="H101" s="451">
        <f t="shared" si="49"/>
        <v>0</v>
      </c>
    </row>
    <row r="102" spans="1:8" hidden="1" x14ac:dyDescent="0.25">
      <c r="A102" s="109" t="str">
        <f t="shared" si="45"/>
        <v>Jawar</v>
      </c>
      <c r="B102" s="451">
        <f t="shared" si="46"/>
        <v>0</v>
      </c>
      <c r="C102" s="451">
        <f t="shared" si="47"/>
        <v>0</v>
      </c>
      <c r="D102" s="451">
        <f t="shared" si="49"/>
        <v>0</v>
      </c>
      <c r="E102" s="451">
        <f t="shared" si="49"/>
        <v>0</v>
      </c>
      <c r="F102" s="451">
        <f t="shared" si="49"/>
        <v>0</v>
      </c>
      <c r="G102" s="451">
        <f t="shared" si="49"/>
        <v>0</v>
      </c>
      <c r="H102" s="451">
        <f t="shared" si="49"/>
        <v>0</v>
      </c>
    </row>
    <row r="103" spans="1:8" hidden="1" x14ac:dyDescent="0.25">
      <c r="A103" s="109" t="str">
        <f t="shared" si="45"/>
        <v>Sunflower</v>
      </c>
      <c r="B103" s="451">
        <f t="shared" si="46"/>
        <v>0</v>
      </c>
      <c r="C103" s="451">
        <f t="shared" si="47"/>
        <v>0</v>
      </c>
      <c r="D103" s="451">
        <f t="shared" si="49"/>
        <v>0</v>
      </c>
      <c r="E103" s="451">
        <f t="shared" si="49"/>
        <v>0</v>
      </c>
      <c r="F103" s="451">
        <f t="shared" si="49"/>
        <v>0</v>
      </c>
      <c r="G103" s="451">
        <f t="shared" si="49"/>
        <v>0</v>
      </c>
      <c r="H103" s="451">
        <f t="shared" si="49"/>
        <v>0</v>
      </c>
    </row>
    <row r="104" spans="1:8" hidden="1" x14ac:dyDescent="0.25">
      <c r="A104" s="109" t="str">
        <f t="shared" si="45"/>
        <v>Wheat</v>
      </c>
      <c r="B104" s="451">
        <f t="shared" si="46"/>
        <v>0</v>
      </c>
      <c r="C104" s="451">
        <f t="shared" si="47"/>
        <v>0</v>
      </c>
      <c r="D104" s="451">
        <f t="shared" si="49"/>
        <v>0</v>
      </c>
      <c r="E104" s="451">
        <f t="shared" si="49"/>
        <v>0</v>
      </c>
      <c r="F104" s="451">
        <f t="shared" si="49"/>
        <v>0</v>
      </c>
      <c r="G104" s="451">
        <f t="shared" si="49"/>
        <v>0</v>
      </c>
      <c r="H104" s="451">
        <f t="shared" si="49"/>
        <v>0</v>
      </c>
    </row>
    <row r="105" spans="1:8" hidden="1" x14ac:dyDescent="0.25">
      <c r="A105" s="109" t="str">
        <f t="shared" si="45"/>
        <v>Bengal Gram/Channa</v>
      </c>
      <c r="B105" s="451">
        <f t="shared" si="46"/>
        <v>0</v>
      </c>
      <c r="C105" s="451">
        <f t="shared" si="47"/>
        <v>0</v>
      </c>
      <c r="D105" s="451">
        <f t="shared" si="49"/>
        <v>0</v>
      </c>
      <c r="E105" s="451">
        <f t="shared" si="49"/>
        <v>0</v>
      </c>
      <c r="F105" s="451">
        <f t="shared" si="49"/>
        <v>0</v>
      </c>
      <c r="G105" s="451">
        <f t="shared" si="49"/>
        <v>0</v>
      </c>
      <c r="H105" s="451">
        <f t="shared" si="49"/>
        <v>0</v>
      </c>
    </row>
    <row r="106" spans="1:8" hidden="1" x14ac:dyDescent="0.25">
      <c r="A106" s="109" t="str">
        <f t="shared" ref="A106:A115" si="50">A81</f>
        <v>Jawar</v>
      </c>
      <c r="B106" s="451">
        <f t="shared" si="46"/>
        <v>0</v>
      </c>
      <c r="C106" s="451">
        <f t="shared" si="47"/>
        <v>0</v>
      </c>
      <c r="D106" s="451">
        <f t="shared" si="49"/>
        <v>0</v>
      </c>
      <c r="E106" s="451">
        <f t="shared" si="49"/>
        <v>0</v>
      </c>
      <c r="F106" s="451">
        <f t="shared" si="49"/>
        <v>0</v>
      </c>
      <c r="G106" s="451">
        <f t="shared" si="49"/>
        <v>0</v>
      </c>
      <c r="H106" s="451">
        <f t="shared" si="49"/>
        <v>0</v>
      </c>
    </row>
    <row r="107" spans="1:8" hidden="1" x14ac:dyDescent="0.25">
      <c r="A107" s="109" t="str">
        <f t="shared" si="50"/>
        <v>Maize</v>
      </c>
      <c r="B107" s="451">
        <f t="shared" si="46"/>
        <v>0</v>
      </c>
      <c r="C107" s="451">
        <f t="shared" si="47"/>
        <v>0</v>
      </c>
      <c r="D107" s="451">
        <f t="shared" ref="D107:H116" si="51">(C107/C$93)*D$93</f>
        <v>0</v>
      </c>
      <c r="E107" s="451">
        <f t="shared" si="51"/>
        <v>0</v>
      </c>
      <c r="F107" s="451">
        <f t="shared" si="51"/>
        <v>0</v>
      </c>
      <c r="G107" s="451">
        <f t="shared" si="51"/>
        <v>0</v>
      </c>
      <c r="H107" s="451">
        <f t="shared" si="51"/>
        <v>0</v>
      </c>
    </row>
    <row r="108" spans="1:8" hidden="1" x14ac:dyDescent="0.25">
      <c r="A108" s="109" t="str">
        <f t="shared" si="50"/>
        <v>Safflower</v>
      </c>
      <c r="B108" s="451">
        <f t="shared" si="46"/>
        <v>0</v>
      </c>
      <c r="C108" s="451">
        <f t="shared" si="47"/>
        <v>0</v>
      </c>
      <c r="D108" s="451">
        <f t="shared" si="51"/>
        <v>0</v>
      </c>
      <c r="E108" s="451">
        <f t="shared" si="51"/>
        <v>0</v>
      </c>
      <c r="F108" s="451">
        <f t="shared" si="51"/>
        <v>0</v>
      </c>
      <c r="G108" s="451">
        <f t="shared" si="51"/>
        <v>0</v>
      </c>
      <c r="H108" s="451">
        <f t="shared" si="51"/>
        <v>0</v>
      </c>
    </row>
    <row r="109" spans="1:8" hidden="1" x14ac:dyDescent="0.25">
      <c r="A109" s="109">
        <f t="shared" si="50"/>
        <v>0</v>
      </c>
      <c r="B109" s="451">
        <f t="shared" ref="B109:B111" si="52">D29*$B$93</f>
        <v>0</v>
      </c>
      <c r="C109" s="451">
        <f t="shared" si="47"/>
        <v>0</v>
      </c>
      <c r="D109" s="451">
        <f t="shared" si="51"/>
        <v>0</v>
      </c>
      <c r="E109" s="451">
        <f t="shared" si="51"/>
        <v>0</v>
      </c>
      <c r="F109" s="451">
        <f t="shared" si="51"/>
        <v>0</v>
      </c>
      <c r="G109" s="451">
        <f t="shared" si="51"/>
        <v>0</v>
      </c>
      <c r="H109" s="451">
        <f t="shared" si="51"/>
        <v>0</v>
      </c>
    </row>
    <row r="110" spans="1:8" hidden="1" x14ac:dyDescent="0.25">
      <c r="A110" s="109">
        <f t="shared" si="50"/>
        <v>0</v>
      </c>
      <c r="B110" s="451">
        <f t="shared" si="52"/>
        <v>0</v>
      </c>
      <c r="C110" s="451">
        <f t="shared" si="47"/>
        <v>0</v>
      </c>
      <c r="D110" s="451">
        <f t="shared" si="51"/>
        <v>0</v>
      </c>
      <c r="E110" s="451">
        <f t="shared" si="51"/>
        <v>0</v>
      </c>
      <c r="F110" s="451">
        <f t="shared" si="51"/>
        <v>0</v>
      </c>
      <c r="G110" s="451">
        <f t="shared" si="51"/>
        <v>0</v>
      </c>
      <c r="H110" s="451">
        <f t="shared" si="51"/>
        <v>0</v>
      </c>
    </row>
    <row r="111" spans="1:8" hidden="1" x14ac:dyDescent="0.25">
      <c r="A111" s="109">
        <f t="shared" si="50"/>
        <v>0</v>
      </c>
      <c r="B111" s="451">
        <f t="shared" si="52"/>
        <v>0</v>
      </c>
      <c r="C111" s="451">
        <f t="shared" si="47"/>
        <v>0</v>
      </c>
      <c r="D111" s="451">
        <f t="shared" si="51"/>
        <v>0</v>
      </c>
      <c r="E111" s="451">
        <f t="shared" si="51"/>
        <v>0</v>
      </c>
      <c r="F111" s="451">
        <f t="shared" si="51"/>
        <v>0</v>
      </c>
      <c r="G111" s="451">
        <f t="shared" si="51"/>
        <v>0</v>
      </c>
      <c r="H111" s="451">
        <f t="shared" si="51"/>
        <v>0</v>
      </c>
    </row>
    <row r="112" spans="1:8" hidden="1" x14ac:dyDescent="0.25">
      <c r="A112" s="109" t="str">
        <f t="shared" si="50"/>
        <v>Groundnut</v>
      </c>
      <c r="B112" s="451">
        <f>D33*$B$93</f>
        <v>0</v>
      </c>
      <c r="C112" s="451">
        <f t="shared" si="47"/>
        <v>0</v>
      </c>
      <c r="D112" s="451">
        <f t="shared" si="51"/>
        <v>0</v>
      </c>
      <c r="E112" s="451">
        <f t="shared" si="51"/>
        <v>0</v>
      </c>
      <c r="F112" s="451">
        <f t="shared" si="51"/>
        <v>0</v>
      </c>
      <c r="G112" s="451">
        <f t="shared" si="51"/>
        <v>0</v>
      </c>
      <c r="H112" s="451">
        <f t="shared" si="51"/>
        <v>0</v>
      </c>
    </row>
    <row r="113" spans="1:9" hidden="1" x14ac:dyDescent="0.25">
      <c r="A113" s="109">
        <f t="shared" si="50"/>
        <v>0</v>
      </c>
      <c r="B113" s="451">
        <f>D34*$B$93</f>
        <v>0</v>
      </c>
      <c r="C113" s="451">
        <f t="shared" si="47"/>
        <v>0</v>
      </c>
      <c r="D113" s="451">
        <f t="shared" si="51"/>
        <v>0</v>
      </c>
      <c r="E113" s="451">
        <f t="shared" si="51"/>
        <v>0</v>
      </c>
      <c r="F113" s="451">
        <f t="shared" si="51"/>
        <v>0</v>
      </c>
      <c r="G113" s="451">
        <f t="shared" si="51"/>
        <v>0</v>
      </c>
      <c r="H113" s="451">
        <f t="shared" si="51"/>
        <v>0</v>
      </c>
    </row>
    <row r="114" spans="1:9" hidden="1" x14ac:dyDescent="0.25">
      <c r="A114" s="109">
        <f t="shared" si="50"/>
        <v>0</v>
      </c>
      <c r="B114" s="148">
        <f>D34*$B$93</f>
        <v>0</v>
      </c>
      <c r="C114" s="148">
        <f t="shared" si="47"/>
        <v>0</v>
      </c>
      <c r="D114" s="148">
        <f t="shared" si="51"/>
        <v>0</v>
      </c>
      <c r="E114" s="148">
        <f t="shared" si="51"/>
        <v>0</v>
      </c>
      <c r="F114" s="148">
        <f t="shared" si="51"/>
        <v>0</v>
      </c>
      <c r="G114" s="148">
        <f t="shared" si="51"/>
        <v>0</v>
      </c>
      <c r="H114" s="148">
        <f t="shared" si="51"/>
        <v>0</v>
      </c>
    </row>
    <row r="115" spans="1:9" hidden="1" x14ac:dyDescent="0.25">
      <c r="A115" s="109">
        <f t="shared" si="50"/>
        <v>0</v>
      </c>
      <c r="B115" s="148">
        <f>D36*$B$93</f>
        <v>0</v>
      </c>
      <c r="C115" s="148">
        <f t="shared" si="47"/>
        <v>0</v>
      </c>
      <c r="D115" s="148">
        <f t="shared" si="51"/>
        <v>0</v>
      </c>
      <c r="E115" s="148">
        <f t="shared" si="51"/>
        <v>0</v>
      </c>
      <c r="F115" s="148">
        <f t="shared" si="51"/>
        <v>0</v>
      </c>
      <c r="G115" s="148">
        <f t="shared" si="51"/>
        <v>0</v>
      </c>
      <c r="H115" s="148">
        <f t="shared" si="51"/>
        <v>0</v>
      </c>
    </row>
    <row r="116" spans="1:9" hidden="1" x14ac:dyDescent="0.25">
      <c r="A116" s="109"/>
      <c r="B116" s="148">
        <f>D37*$B$93</f>
        <v>0</v>
      </c>
      <c r="C116" s="148">
        <f t="shared" si="47"/>
        <v>0</v>
      </c>
      <c r="D116" s="148">
        <f t="shared" si="51"/>
        <v>0</v>
      </c>
      <c r="E116" s="148">
        <f t="shared" si="51"/>
        <v>0</v>
      </c>
      <c r="F116" s="148">
        <f t="shared" si="51"/>
        <v>0</v>
      </c>
      <c r="G116" s="148">
        <f t="shared" si="51"/>
        <v>0</v>
      </c>
      <c r="H116" s="148">
        <f t="shared" si="51"/>
        <v>0</v>
      </c>
    </row>
    <row r="118" spans="1:9" x14ac:dyDescent="0.25">
      <c r="C118" s="105"/>
      <c r="D118" s="122"/>
      <c r="E118" s="122"/>
      <c r="F118" s="122"/>
      <c r="G118" s="122"/>
      <c r="H118" s="122"/>
      <c r="I118" s="122"/>
    </row>
    <row r="119" spans="1:9" x14ac:dyDescent="0.25">
      <c r="A119" s="104" t="s">
        <v>539</v>
      </c>
      <c r="C119" s="149"/>
      <c r="D119" s="149"/>
      <c r="E119" s="149"/>
      <c r="F119" s="149"/>
      <c r="G119" s="149"/>
      <c r="H119" s="149"/>
      <c r="I119" s="149"/>
    </row>
    <row r="120" spans="1:9" x14ac:dyDescent="0.25">
      <c r="A120" s="104">
        <v>1</v>
      </c>
      <c r="B120" s="104" t="s">
        <v>593</v>
      </c>
    </row>
    <row r="121" spans="1:9" x14ac:dyDescent="0.25">
      <c r="A121" s="104">
        <v>2</v>
      </c>
      <c r="B121" s="104" t="s">
        <v>594</v>
      </c>
    </row>
    <row r="122" spans="1:9" x14ac:dyDescent="0.25">
      <c r="A122" s="104">
        <v>3</v>
      </c>
      <c r="B122" s="104" t="s">
        <v>542</v>
      </c>
    </row>
  </sheetData>
  <mergeCells count="13">
    <mergeCell ref="A1:H1"/>
    <mergeCell ref="A11:H11"/>
    <mergeCell ref="A37:H37"/>
    <mergeCell ref="A39:H39"/>
    <mergeCell ref="A64:H64"/>
    <mergeCell ref="A92:H92"/>
    <mergeCell ref="A3:B3"/>
    <mergeCell ref="A93:A94"/>
    <mergeCell ref="A14:A22"/>
    <mergeCell ref="A40:A41"/>
    <mergeCell ref="A65:A66"/>
    <mergeCell ref="A24:A31"/>
    <mergeCell ref="A69:A70"/>
  </mergeCells>
  <pageMargins left="0.7" right="0.7" top="0.75" bottom="0.75" header="0.3" footer="0.3"/>
  <pageSetup paperSize="9" scale="51" orientation="portrait" r:id="rId1"/>
  <rowBreaks count="1" manualBreakCount="1">
    <brk id="9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55" zoomScaleNormal="80" zoomScaleSheetLayoutView="55" workbookViewId="0">
      <selection activeCell="B5" sqref="B5"/>
    </sheetView>
  </sheetViews>
  <sheetFormatPr defaultColWidth="10" defaultRowHeight="15" x14ac:dyDescent="0.25"/>
  <cols>
    <col min="1" max="1" width="44.28515625" customWidth="1"/>
    <col min="2" max="2" width="23.28515625" customWidth="1"/>
    <col min="3" max="3" width="11.5703125" customWidth="1"/>
    <col min="4" max="4" width="18.7109375" customWidth="1"/>
    <col min="5" max="5" width="15.28515625" customWidth="1"/>
    <col min="6" max="7" width="15.7109375" customWidth="1"/>
    <col min="8" max="8" width="21.28515625" customWidth="1"/>
    <col min="9" max="9" width="11.42578125" customWidth="1"/>
    <col min="10" max="10" width="9.28515625" customWidth="1"/>
  </cols>
  <sheetData>
    <row r="1" spans="1:26" ht="18.75" x14ac:dyDescent="0.3">
      <c r="A1" s="547" t="s">
        <v>494</v>
      </c>
      <c r="B1" s="547"/>
      <c r="C1" s="547"/>
      <c r="D1" s="547"/>
      <c r="E1" s="547"/>
      <c r="F1" s="547"/>
      <c r="G1" s="547"/>
      <c r="H1" s="547"/>
    </row>
    <row r="2" spans="1:26" x14ac:dyDescent="0.25">
      <c r="B2" s="21"/>
    </row>
    <row r="3" spans="1:26" ht="18.75" x14ac:dyDescent="0.3">
      <c r="A3" s="551" t="s">
        <v>571</v>
      </c>
      <c r="B3" s="551"/>
    </row>
    <row r="4" spans="1:26" x14ac:dyDescent="0.25">
      <c r="A4" s="28" t="s">
        <v>0</v>
      </c>
      <c r="B4" s="29" t="s">
        <v>381</v>
      </c>
      <c r="C4" s="30"/>
      <c r="D4" s="30"/>
      <c r="E4" s="30"/>
      <c r="F4" s="30"/>
      <c r="G4" s="30"/>
      <c r="H4" s="30"/>
    </row>
    <row r="5" spans="1:26" x14ac:dyDescent="0.25">
      <c r="A5" s="18" t="s">
        <v>487</v>
      </c>
      <c r="B5" s="31"/>
      <c r="C5" s="32"/>
      <c r="D5" s="33"/>
      <c r="E5" s="33"/>
      <c r="F5" s="33"/>
      <c r="G5" s="33"/>
      <c r="H5" s="33"/>
    </row>
    <row r="6" spans="1:26" x14ac:dyDescent="0.25">
      <c r="A6" s="18" t="s">
        <v>488</v>
      </c>
      <c r="B6" s="31"/>
      <c r="C6" s="32"/>
      <c r="D6" s="33"/>
      <c r="E6" s="33"/>
      <c r="F6" s="33"/>
      <c r="G6" s="33"/>
      <c r="H6" s="33"/>
    </row>
    <row r="7" spans="1:26" x14ac:dyDescent="0.25">
      <c r="A7" s="34" t="s">
        <v>1</v>
      </c>
      <c r="B7" s="35">
        <f>B5+B6</f>
        <v>0</v>
      </c>
      <c r="C7" s="36"/>
      <c r="D7" s="37"/>
      <c r="E7" s="37"/>
      <c r="F7" s="37"/>
      <c r="G7" s="37"/>
      <c r="H7" s="37"/>
    </row>
    <row r="8" spans="1:26" x14ac:dyDescent="0.25">
      <c r="A8" s="34" t="s">
        <v>489</v>
      </c>
      <c r="B8" s="38">
        <v>1</v>
      </c>
      <c r="C8" s="36"/>
      <c r="D8" s="36"/>
      <c r="E8" s="36"/>
      <c r="F8" s="36"/>
      <c r="G8" s="36"/>
      <c r="H8" s="36"/>
    </row>
    <row r="9" spans="1:26" x14ac:dyDescent="0.25">
      <c r="A9" s="34" t="s">
        <v>490</v>
      </c>
      <c r="B9" s="35">
        <f>B7*B8</f>
        <v>0</v>
      </c>
      <c r="C9" s="37"/>
      <c r="D9" s="37"/>
      <c r="E9" s="37"/>
      <c r="F9" s="37"/>
      <c r="G9" s="37"/>
      <c r="H9" s="37"/>
    </row>
    <row r="10" spans="1:26" x14ac:dyDescent="0.25">
      <c r="J10" t="s">
        <v>446</v>
      </c>
      <c r="O10" t="s">
        <v>442</v>
      </c>
      <c r="U10" t="s">
        <v>443</v>
      </c>
      <c r="Y10" t="s">
        <v>444</v>
      </c>
      <c r="Z10" t="s">
        <v>445</v>
      </c>
    </row>
    <row r="11" spans="1:26" ht="18.75" x14ac:dyDescent="0.3">
      <c r="A11" s="547" t="s">
        <v>572</v>
      </c>
      <c r="B11" s="547"/>
      <c r="C11" s="547"/>
      <c r="D11" s="547"/>
      <c r="E11" s="547"/>
      <c r="F11" s="547"/>
      <c r="G11" s="547"/>
      <c r="H11" s="547"/>
      <c r="I11" s="39"/>
      <c r="J11" s="39"/>
      <c r="K11" s="39"/>
      <c r="L11" s="39"/>
      <c r="M11" s="39"/>
      <c r="N11" s="39"/>
      <c r="O11" s="39"/>
      <c r="P11" s="39"/>
    </row>
    <row r="12" spans="1:26" x14ac:dyDescent="0.25">
      <c r="J12" s="40">
        <v>0.65</v>
      </c>
      <c r="K12" s="41">
        <f>J12+0.05</f>
        <v>0.70000000000000007</v>
      </c>
      <c r="L12" s="41">
        <f t="shared" ref="L12:N12" si="0">K12+0.05</f>
        <v>0.75000000000000011</v>
      </c>
      <c r="M12" s="41">
        <f t="shared" si="0"/>
        <v>0.80000000000000016</v>
      </c>
      <c r="N12" s="41">
        <f t="shared" si="0"/>
        <v>0.8500000000000002</v>
      </c>
      <c r="O12" s="40">
        <v>0.4</v>
      </c>
      <c r="P12" s="40">
        <f>O12+0.05</f>
        <v>0.45</v>
      </c>
      <c r="Q12" s="40">
        <f t="shared" ref="Q12:T12" si="1">P12+0.05</f>
        <v>0.5</v>
      </c>
      <c r="R12" s="40">
        <f t="shared" si="1"/>
        <v>0.55000000000000004</v>
      </c>
      <c r="S12" s="40">
        <f t="shared" si="1"/>
        <v>0.60000000000000009</v>
      </c>
      <c r="T12" s="40">
        <f t="shared" si="1"/>
        <v>0.65000000000000013</v>
      </c>
      <c r="U12" s="40">
        <v>0.1</v>
      </c>
      <c r="V12" s="23">
        <f>U12+0.05</f>
        <v>0.15000000000000002</v>
      </c>
      <c r="W12" s="23">
        <f t="shared" ref="W12:X12" si="2">V12+0.05</f>
        <v>0.2</v>
      </c>
      <c r="X12" s="23">
        <f t="shared" si="2"/>
        <v>0.25</v>
      </c>
    </row>
    <row r="13" spans="1:26" ht="45" x14ac:dyDescent="0.25">
      <c r="A13" s="28" t="s">
        <v>385</v>
      </c>
      <c r="B13" s="28" t="s">
        <v>386</v>
      </c>
      <c r="C13" s="42" t="s">
        <v>439</v>
      </c>
      <c r="D13" s="42" t="s">
        <v>447</v>
      </c>
      <c r="E13" s="42" t="s">
        <v>448</v>
      </c>
      <c r="F13" s="42" t="s">
        <v>387</v>
      </c>
      <c r="G13" s="42" t="s">
        <v>638</v>
      </c>
      <c r="H13" s="42" t="s">
        <v>388</v>
      </c>
      <c r="O13" s="43" t="s">
        <v>2</v>
      </c>
      <c r="P13" s="43" t="s">
        <v>3</v>
      </c>
      <c r="Q13" s="43" t="s">
        <v>4</v>
      </c>
      <c r="R13" s="43" t="s">
        <v>5</v>
      </c>
      <c r="S13" s="43" t="s">
        <v>6</v>
      </c>
      <c r="T13" s="43" t="s">
        <v>2</v>
      </c>
      <c r="U13" s="43" t="s">
        <v>3</v>
      </c>
      <c r="V13" s="43" t="s">
        <v>4</v>
      </c>
      <c r="W13" s="43" t="s">
        <v>5</v>
      </c>
      <c r="X13" s="43" t="s">
        <v>6</v>
      </c>
    </row>
    <row r="14" spans="1:26" x14ac:dyDescent="0.25">
      <c r="A14" s="548" t="s">
        <v>389</v>
      </c>
      <c r="B14" s="31" t="s">
        <v>477</v>
      </c>
      <c r="C14" s="44">
        <v>0</v>
      </c>
      <c r="D14" s="18">
        <f t="shared" ref="D14:D40" si="3">$B$9*C14</f>
        <v>0</v>
      </c>
      <c r="E14" s="45">
        <v>0</v>
      </c>
      <c r="F14" s="18">
        <f>D14*E14</f>
        <v>0</v>
      </c>
      <c r="G14" s="46">
        <v>0.1</v>
      </c>
      <c r="H14" s="18">
        <f>(F14-F14*G14)</f>
        <v>0</v>
      </c>
      <c r="J14">
        <f>$D$14*J12</f>
        <v>0</v>
      </c>
      <c r="K14">
        <f>$D$14*K12</f>
        <v>0</v>
      </c>
      <c r="L14">
        <f>$D$14*L12</f>
        <v>0</v>
      </c>
      <c r="M14">
        <f>$D$14*M12</f>
        <v>0</v>
      </c>
      <c r="N14">
        <f>$D$14*N12</f>
        <v>0</v>
      </c>
    </row>
    <row r="15" spans="1:26" x14ac:dyDescent="0.25">
      <c r="A15" s="549"/>
      <c r="B15" s="31" t="s">
        <v>478</v>
      </c>
      <c r="C15" s="44">
        <v>0</v>
      </c>
      <c r="D15" s="18">
        <f t="shared" si="3"/>
        <v>0</v>
      </c>
      <c r="E15" s="45">
        <v>0</v>
      </c>
      <c r="F15" s="18">
        <f t="shared" ref="F15:F40" si="4">D15*E15</f>
        <v>0</v>
      </c>
      <c r="G15" s="46">
        <v>0.05</v>
      </c>
      <c r="H15" s="18">
        <f>(F15-F15*G15)</f>
        <v>0</v>
      </c>
    </row>
    <row r="16" spans="1:26" x14ac:dyDescent="0.25">
      <c r="A16" s="549"/>
      <c r="B16" s="31" t="s">
        <v>479</v>
      </c>
      <c r="C16" s="44">
        <v>0</v>
      </c>
      <c r="D16" s="18">
        <f t="shared" si="3"/>
        <v>0</v>
      </c>
      <c r="E16" s="45">
        <v>0</v>
      </c>
      <c r="F16" s="18">
        <f t="shared" si="4"/>
        <v>0</v>
      </c>
      <c r="G16" s="46">
        <v>0</v>
      </c>
      <c r="H16" s="18">
        <f t="shared" ref="H16:H40" si="5">(F16-F16*G16)</f>
        <v>0</v>
      </c>
    </row>
    <row r="17" spans="1:8" x14ac:dyDescent="0.25">
      <c r="A17" s="549"/>
      <c r="B17" s="31" t="s">
        <v>480</v>
      </c>
      <c r="C17" s="44">
        <v>0</v>
      </c>
      <c r="D17" s="18">
        <f t="shared" si="3"/>
        <v>0</v>
      </c>
      <c r="E17" s="45">
        <v>0</v>
      </c>
      <c r="F17" s="18">
        <f t="shared" si="4"/>
        <v>0</v>
      </c>
      <c r="G17" s="46">
        <v>0.02</v>
      </c>
      <c r="H17" s="18">
        <f t="shared" si="5"/>
        <v>0</v>
      </c>
    </row>
    <row r="18" spans="1:8" x14ac:dyDescent="0.25">
      <c r="A18" s="549"/>
      <c r="B18" s="31" t="s">
        <v>482</v>
      </c>
      <c r="C18" s="44">
        <v>0</v>
      </c>
      <c r="D18" s="18">
        <f t="shared" si="3"/>
        <v>0</v>
      </c>
      <c r="E18" s="45">
        <v>0</v>
      </c>
      <c r="F18" s="18">
        <f t="shared" si="4"/>
        <v>0</v>
      </c>
      <c r="G18" s="46">
        <v>0</v>
      </c>
      <c r="H18" s="18">
        <f t="shared" si="5"/>
        <v>0</v>
      </c>
    </row>
    <row r="19" spans="1:8" x14ac:dyDescent="0.25">
      <c r="A19" s="549"/>
      <c r="B19" s="31"/>
      <c r="C19" s="44">
        <v>0</v>
      </c>
      <c r="D19" s="18">
        <f t="shared" si="3"/>
        <v>0</v>
      </c>
      <c r="E19" s="45">
        <v>0</v>
      </c>
      <c r="F19" s="18">
        <f t="shared" si="4"/>
        <v>0</v>
      </c>
      <c r="G19" s="46">
        <v>0.1</v>
      </c>
      <c r="H19" s="18">
        <f t="shared" si="5"/>
        <v>0</v>
      </c>
    </row>
    <row r="20" spans="1:8" x14ac:dyDescent="0.25">
      <c r="A20" s="549"/>
      <c r="B20" s="31"/>
      <c r="C20" s="44">
        <v>0</v>
      </c>
      <c r="D20" s="18">
        <f t="shared" si="3"/>
        <v>0</v>
      </c>
      <c r="E20" s="45">
        <v>0</v>
      </c>
      <c r="F20" s="18">
        <f t="shared" si="4"/>
        <v>0</v>
      </c>
      <c r="G20" s="46">
        <v>0.02</v>
      </c>
      <c r="H20" s="18">
        <f t="shared" si="5"/>
        <v>0</v>
      </c>
    </row>
    <row r="21" spans="1:8" x14ac:dyDescent="0.25">
      <c r="A21" s="549"/>
      <c r="B21" s="31"/>
      <c r="C21" s="44">
        <v>0</v>
      </c>
      <c r="D21" s="18">
        <f t="shared" si="3"/>
        <v>0</v>
      </c>
      <c r="E21" s="45"/>
      <c r="F21" s="18">
        <f t="shared" si="4"/>
        <v>0</v>
      </c>
      <c r="G21" s="46">
        <v>0</v>
      </c>
      <c r="H21" s="18">
        <f t="shared" si="5"/>
        <v>0</v>
      </c>
    </row>
    <row r="22" spans="1:8" x14ac:dyDescent="0.25">
      <c r="A22" s="550"/>
      <c r="B22" s="31"/>
      <c r="C22" s="44">
        <v>0</v>
      </c>
      <c r="D22" s="18">
        <f t="shared" si="3"/>
        <v>0</v>
      </c>
      <c r="E22" s="45"/>
      <c r="F22" s="18">
        <f t="shared" si="4"/>
        <v>0</v>
      </c>
      <c r="G22" s="46">
        <v>0</v>
      </c>
      <c r="H22" s="18">
        <f t="shared" si="5"/>
        <v>0</v>
      </c>
    </row>
    <row r="23" spans="1:8" x14ac:dyDescent="0.25">
      <c r="A23" s="58" t="s">
        <v>495</v>
      </c>
      <c r="B23" s="47"/>
      <c r="C23" s="59">
        <f>B9*B23</f>
        <v>0</v>
      </c>
      <c r="D23" s="18"/>
      <c r="E23" s="45"/>
      <c r="F23" s="18"/>
      <c r="G23" s="46"/>
      <c r="H23" s="18"/>
    </row>
    <row r="24" spans="1:8" x14ac:dyDescent="0.25">
      <c r="A24" s="548" t="s">
        <v>391</v>
      </c>
      <c r="B24" s="31" t="s">
        <v>477</v>
      </c>
      <c r="C24" s="44">
        <v>0</v>
      </c>
      <c r="D24" s="18">
        <f>C$23*C24</f>
        <v>0</v>
      </c>
      <c r="E24" s="45">
        <v>0</v>
      </c>
      <c r="F24" s="18">
        <f t="shared" si="4"/>
        <v>0</v>
      </c>
      <c r="G24" s="46">
        <v>0.1</v>
      </c>
      <c r="H24" s="18">
        <f t="shared" si="5"/>
        <v>0</v>
      </c>
    </row>
    <row r="25" spans="1:8" x14ac:dyDescent="0.25">
      <c r="A25" s="549"/>
      <c r="B25" s="31" t="s">
        <v>478</v>
      </c>
      <c r="C25" s="44">
        <v>0</v>
      </c>
      <c r="D25" s="18">
        <f>C$23*C25</f>
        <v>0</v>
      </c>
      <c r="E25" s="45">
        <v>0</v>
      </c>
      <c r="F25" s="18">
        <f t="shared" si="4"/>
        <v>0</v>
      </c>
      <c r="G25" s="46">
        <v>0.1</v>
      </c>
      <c r="H25" s="18">
        <f t="shared" si="5"/>
        <v>0</v>
      </c>
    </row>
    <row r="26" spans="1:8" x14ac:dyDescent="0.25">
      <c r="A26" s="549"/>
      <c r="B26" s="31" t="s">
        <v>479</v>
      </c>
      <c r="C26" s="44">
        <v>0</v>
      </c>
      <c r="D26" s="18">
        <f>C$23*C26</f>
        <v>0</v>
      </c>
      <c r="E26" s="45">
        <v>0</v>
      </c>
      <c r="F26" s="18">
        <f t="shared" si="4"/>
        <v>0</v>
      </c>
      <c r="G26" s="46">
        <v>0.05</v>
      </c>
      <c r="H26" s="18">
        <f t="shared" si="5"/>
        <v>0</v>
      </c>
    </row>
    <row r="27" spans="1:8" x14ac:dyDescent="0.25">
      <c r="A27" s="549"/>
      <c r="B27" s="31" t="s">
        <v>480</v>
      </c>
      <c r="C27" s="44">
        <v>0</v>
      </c>
      <c r="D27" s="18">
        <f t="shared" ref="D27:D31" si="6">C$23*C27</f>
        <v>0</v>
      </c>
      <c r="E27" s="45">
        <v>0</v>
      </c>
      <c r="F27" s="18">
        <f t="shared" si="4"/>
        <v>0</v>
      </c>
      <c r="G27" s="46">
        <v>0</v>
      </c>
      <c r="H27" s="18">
        <f t="shared" si="5"/>
        <v>0</v>
      </c>
    </row>
    <row r="28" spans="1:8" x14ac:dyDescent="0.25">
      <c r="A28" s="549"/>
      <c r="B28" s="31" t="s">
        <v>481</v>
      </c>
      <c r="C28" s="44">
        <v>0</v>
      </c>
      <c r="D28" s="18">
        <f t="shared" si="6"/>
        <v>0</v>
      </c>
      <c r="E28" s="45"/>
      <c r="F28" s="18">
        <f t="shared" si="4"/>
        <v>0</v>
      </c>
      <c r="G28" s="46">
        <v>0</v>
      </c>
      <c r="H28" s="18">
        <f t="shared" si="5"/>
        <v>0</v>
      </c>
    </row>
    <row r="29" spans="1:8" x14ac:dyDescent="0.25">
      <c r="A29" s="549"/>
      <c r="B29" s="31"/>
      <c r="C29" s="44">
        <v>0</v>
      </c>
      <c r="D29" s="18">
        <f t="shared" si="6"/>
        <v>0</v>
      </c>
      <c r="E29" s="45"/>
      <c r="F29" s="18">
        <f t="shared" si="4"/>
        <v>0</v>
      </c>
      <c r="G29" s="46">
        <v>0</v>
      </c>
      <c r="H29" s="18">
        <f t="shared" si="5"/>
        <v>0</v>
      </c>
    </row>
    <row r="30" spans="1:8" x14ac:dyDescent="0.25">
      <c r="A30" s="549"/>
      <c r="B30" s="31"/>
      <c r="C30" s="44">
        <v>0</v>
      </c>
      <c r="D30" s="18">
        <f t="shared" si="6"/>
        <v>0</v>
      </c>
      <c r="E30" s="45"/>
      <c r="F30" s="18">
        <f t="shared" si="4"/>
        <v>0</v>
      </c>
      <c r="G30" s="46">
        <v>0</v>
      </c>
      <c r="H30" s="18">
        <f t="shared" si="5"/>
        <v>0</v>
      </c>
    </row>
    <row r="31" spans="1:8" x14ac:dyDescent="0.25">
      <c r="A31" s="550"/>
      <c r="B31" s="31"/>
      <c r="C31" s="44">
        <v>0</v>
      </c>
      <c r="D31" s="18">
        <f t="shared" si="6"/>
        <v>0</v>
      </c>
      <c r="E31" s="45"/>
      <c r="F31" s="18">
        <f t="shared" si="4"/>
        <v>0</v>
      </c>
      <c r="G31" s="46">
        <v>0</v>
      </c>
      <c r="H31" s="18">
        <f t="shared" si="5"/>
        <v>0</v>
      </c>
    </row>
    <row r="32" spans="1:8" x14ac:dyDescent="0.25">
      <c r="A32" s="58" t="s">
        <v>496</v>
      </c>
      <c r="B32" s="47"/>
      <c r="C32" s="31">
        <f>B9*B32</f>
        <v>0</v>
      </c>
      <c r="D32" s="18"/>
      <c r="E32" s="45"/>
      <c r="F32" s="18"/>
      <c r="G32" s="46"/>
      <c r="H32" s="18"/>
    </row>
    <row r="33" spans="1:8" x14ac:dyDescent="0.25">
      <c r="A33" s="49" t="s">
        <v>453</v>
      </c>
      <c r="B33" s="31"/>
      <c r="C33" s="44">
        <v>0</v>
      </c>
      <c r="D33" s="18">
        <f>C$32*C33</f>
        <v>0</v>
      </c>
      <c r="E33" s="45"/>
      <c r="F33" s="18">
        <f t="shared" si="4"/>
        <v>0</v>
      </c>
      <c r="G33" s="46">
        <v>0</v>
      </c>
      <c r="H33" s="18">
        <f t="shared" si="5"/>
        <v>0</v>
      </c>
    </row>
    <row r="34" spans="1:8" x14ac:dyDescent="0.25">
      <c r="A34" s="50"/>
      <c r="B34" s="31"/>
      <c r="C34" s="44">
        <v>0</v>
      </c>
      <c r="D34" s="18">
        <f>C$32*C34</f>
        <v>0</v>
      </c>
      <c r="E34" s="45"/>
      <c r="F34" s="18">
        <f t="shared" si="4"/>
        <v>0</v>
      </c>
      <c r="G34" s="46">
        <v>0</v>
      </c>
      <c r="H34" s="18">
        <f t="shared" si="5"/>
        <v>0</v>
      </c>
    </row>
    <row r="35" spans="1:8" x14ac:dyDescent="0.25">
      <c r="A35" s="50"/>
      <c r="B35" s="31"/>
      <c r="C35" s="44">
        <v>0</v>
      </c>
      <c r="D35" s="18">
        <f>C$32*C35</f>
        <v>0</v>
      </c>
      <c r="E35" s="45"/>
      <c r="F35" s="18">
        <f t="shared" si="4"/>
        <v>0</v>
      </c>
      <c r="G35" s="46">
        <v>0</v>
      </c>
      <c r="H35" s="18">
        <f t="shared" si="5"/>
        <v>0</v>
      </c>
    </row>
    <row r="36" spans="1:8" x14ac:dyDescent="0.25">
      <c r="A36" s="51"/>
      <c r="B36" s="31"/>
      <c r="C36" s="44">
        <v>0</v>
      </c>
      <c r="D36" s="18">
        <f>C$32*C36</f>
        <v>0</v>
      </c>
      <c r="E36" s="45"/>
      <c r="F36" s="18">
        <f t="shared" si="4"/>
        <v>0</v>
      </c>
      <c r="G36" s="46">
        <v>0</v>
      </c>
      <c r="H36" s="18">
        <f t="shared" si="5"/>
        <v>0</v>
      </c>
    </row>
    <row r="37" spans="1:8" x14ac:dyDescent="0.25">
      <c r="A37" s="544" t="s">
        <v>497</v>
      </c>
      <c r="B37" s="31" t="s">
        <v>483</v>
      </c>
      <c r="C37" s="44">
        <v>0</v>
      </c>
      <c r="D37" s="18">
        <f t="shared" si="3"/>
        <v>0</v>
      </c>
      <c r="E37" s="45">
        <v>0</v>
      </c>
      <c r="F37" s="18">
        <f t="shared" si="4"/>
        <v>0</v>
      </c>
      <c r="G37" s="46">
        <v>0.05</v>
      </c>
      <c r="H37" s="18">
        <f t="shared" si="5"/>
        <v>0</v>
      </c>
    </row>
    <row r="38" spans="1:8" x14ac:dyDescent="0.25">
      <c r="A38" s="544"/>
      <c r="B38" s="31" t="s">
        <v>484</v>
      </c>
      <c r="C38" s="44">
        <v>0</v>
      </c>
      <c r="D38" s="18">
        <f t="shared" si="3"/>
        <v>0</v>
      </c>
      <c r="E38" s="45"/>
      <c r="F38" s="18">
        <f t="shared" si="4"/>
        <v>0</v>
      </c>
      <c r="G38" s="46">
        <v>0</v>
      </c>
      <c r="H38" s="18">
        <f t="shared" si="5"/>
        <v>0</v>
      </c>
    </row>
    <row r="39" spans="1:8" x14ac:dyDescent="0.25">
      <c r="A39" s="544"/>
      <c r="B39" s="31" t="s">
        <v>485</v>
      </c>
      <c r="C39" s="44">
        <v>0</v>
      </c>
      <c r="D39" s="18">
        <f t="shared" si="3"/>
        <v>0</v>
      </c>
      <c r="E39" s="45"/>
      <c r="F39" s="18">
        <f t="shared" si="4"/>
        <v>0</v>
      </c>
      <c r="G39" s="46">
        <v>0</v>
      </c>
      <c r="H39" s="18">
        <f t="shared" si="5"/>
        <v>0</v>
      </c>
    </row>
    <row r="40" spans="1:8" x14ac:dyDescent="0.25">
      <c r="A40" s="544"/>
      <c r="B40" s="31" t="s">
        <v>486</v>
      </c>
      <c r="C40" s="44">
        <v>0</v>
      </c>
      <c r="D40" s="18">
        <f t="shared" si="3"/>
        <v>0</v>
      </c>
      <c r="E40" s="45"/>
      <c r="F40" s="18">
        <f t="shared" si="4"/>
        <v>0</v>
      </c>
      <c r="G40" s="46">
        <v>0</v>
      </c>
      <c r="H40" s="18">
        <f t="shared" si="5"/>
        <v>0</v>
      </c>
    </row>
    <row r="41" spans="1:8" x14ac:dyDescent="0.25">
      <c r="A41" s="560" t="s">
        <v>395</v>
      </c>
      <c r="B41" s="560"/>
      <c r="C41" s="560"/>
      <c r="D41" s="560"/>
      <c r="E41" s="560"/>
      <c r="F41" s="560"/>
      <c r="G41" s="560"/>
      <c r="H41" s="560"/>
    </row>
    <row r="43" spans="1:8" ht="18.75" x14ac:dyDescent="0.3">
      <c r="A43" s="557" t="s">
        <v>573</v>
      </c>
      <c r="B43" s="558"/>
      <c r="C43" s="558"/>
      <c r="D43" s="558"/>
      <c r="E43" s="558"/>
      <c r="F43" s="558"/>
      <c r="G43" s="558"/>
      <c r="H43" s="559"/>
    </row>
    <row r="44" spans="1:8" x14ac:dyDescent="0.25">
      <c r="A44" s="561" t="s">
        <v>0</v>
      </c>
      <c r="B44" s="52">
        <v>0.35</v>
      </c>
      <c r="C44" s="52">
        <f>B44+0.05</f>
        <v>0.39999999999999997</v>
      </c>
      <c r="D44" s="52">
        <f t="shared" ref="D44:G44" si="7">C44+0.05</f>
        <v>0.44999999999999996</v>
      </c>
      <c r="E44" s="52">
        <f t="shared" si="7"/>
        <v>0.49999999999999994</v>
      </c>
      <c r="F44" s="52">
        <f t="shared" si="7"/>
        <v>0.54999999999999993</v>
      </c>
      <c r="G44" s="52">
        <f t="shared" si="7"/>
        <v>0.6</v>
      </c>
      <c r="H44" s="52">
        <f>G44+0.05</f>
        <v>0.65</v>
      </c>
    </row>
    <row r="45" spans="1:8" x14ac:dyDescent="0.25">
      <c r="A45" s="562"/>
      <c r="B45" s="29" t="s">
        <v>2</v>
      </c>
      <c r="C45" s="29" t="s">
        <v>3</v>
      </c>
      <c r="D45" s="29" t="s">
        <v>4</v>
      </c>
      <c r="E45" s="29" t="s">
        <v>5</v>
      </c>
      <c r="F45" s="29" t="s">
        <v>6</v>
      </c>
      <c r="G45" s="29" t="s">
        <v>168</v>
      </c>
      <c r="H45" s="29" t="s">
        <v>167</v>
      </c>
    </row>
    <row r="46" spans="1:8" x14ac:dyDescent="0.25">
      <c r="A46" s="18" t="str">
        <f t="shared" ref="A46:A54" si="8">B14</f>
        <v>Onion</v>
      </c>
      <c r="B46" s="18">
        <f t="shared" ref="B46:B54" si="9">H14*$B$44</f>
        <v>0</v>
      </c>
      <c r="C46" s="18">
        <f t="shared" ref="C46:H61" si="10">(B46/B$44)*C$44</f>
        <v>0</v>
      </c>
      <c r="D46" s="18">
        <f t="shared" si="10"/>
        <v>0</v>
      </c>
      <c r="E46" s="18">
        <f t="shared" si="10"/>
        <v>0</v>
      </c>
      <c r="F46" s="18">
        <f t="shared" si="10"/>
        <v>0</v>
      </c>
      <c r="G46" s="18">
        <f t="shared" si="10"/>
        <v>0</v>
      </c>
      <c r="H46" s="18">
        <f t="shared" si="10"/>
        <v>0</v>
      </c>
    </row>
    <row r="47" spans="1:8" x14ac:dyDescent="0.25">
      <c r="A47" s="18" t="str">
        <f t="shared" si="8"/>
        <v>Tomato</v>
      </c>
      <c r="B47" s="18">
        <f t="shared" si="9"/>
        <v>0</v>
      </c>
      <c r="C47" s="18">
        <f t="shared" si="10"/>
        <v>0</v>
      </c>
      <c r="D47" s="18">
        <f t="shared" si="10"/>
        <v>0</v>
      </c>
      <c r="E47" s="18">
        <f t="shared" si="10"/>
        <v>0</v>
      </c>
      <c r="F47" s="18">
        <f t="shared" si="10"/>
        <v>0</v>
      </c>
      <c r="G47" s="18">
        <f t="shared" si="10"/>
        <v>0</v>
      </c>
      <c r="H47" s="18">
        <f t="shared" si="10"/>
        <v>0</v>
      </c>
    </row>
    <row r="48" spans="1:8" x14ac:dyDescent="0.25">
      <c r="A48" s="18" t="str">
        <f t="shared" si="8"/>
        <v>Okra</v>
      </c>
      <c r="B48" s="18">
        <f t="shared" si="9"/>
        <v>0</v>
      </c>
      <c r="C48" s="18">
        <f t="shared" si="10"/>
        <v>0</v>
      </c>
      <c r="D48" s="18">
        <f t="shared" si="10"/>
        <v>0</v>
      </c>
      <c r="E48" s="18">
        <f t="shared" si="10"/>
        <v>0</v>
      </c>
      <c r="F48" s="18">
        <f t="shared" si="10"/>
        <v>0</v>
      </c>
      <c r="G48" s="18">
        <f t="shared" si="10"/>
        <v>0</v>
      </c>
      <c r="H48" s="18">
        <f t="shared" si="10"/>
        <v>0</v>
      </c>
    </row>
    <row r="49" spans="1:8" x14ac:dyDescent="0.25">
      <c r="A49" s="18" t="str">
        <f t="shared" si="8"/>
        <v>Chilli</v>
      </c>
      <c r="B49" s="18">
        <f t="shared" si="9"/>
        <v>0</v>
      </c>
      <c r="C49" s="18">
        <f t="shared" si="10"/>
        <v>0</v>
      </c>
      <c r="D49" s="18">
        <f t="shared" si="10"/>
        <v>0</v>
      </c>
      <c r="E49" s="18">
        <f t="shared" si="10"/>
        <v>0</v>
      </c>
      <c r="F49" s="18">
        <f t="shared" si="10"/>
        <v>0</v>
      </c>
      <c r="G49" s="18">
        <f t="shared" si="10"/>
        <v>0</v>
      </c>
      <c r="H49" s="18">
        <f t="shared" si="10"/>
        <v>0</v>
      </c>
    </row>
    <row r="50" spans="1:8" x14ac:dyDescent="0.25">
      <c r="A50" s="18" t="str">
        <f t="shared" si="8"/>
        <v>Potato</v>
      </c>
      <c r="B50" s="18">
        <f t="shared" si="9"/>
        <v>0</v>
      </c>
      <c r="C50" s="18">
        <f t="shared" si="10"/>
        <v>0</v>
      </c>
      <c r="D50" s="18">
        <f t="shared" si="10"/>
        <v>0</v>
      </c>
      <c r="E50" s="18">
        <f t="shared" si="10"/>
        <v>0</v>
      </c>
      <c r="F50" s="18">
        <f t="shared" si="10"/>
        <v>0</v>
      </c>
      <c r="G50" s="18">
        <f t="shared" si="10"/>
        <v>0</v>
      </c>
      <c r="H50" s="18">
        <f t="shared" si="10"/>
        <v>0</v>
      </c>
    </row>
    <row r="51" spans="1:8" x14ac:dyDescent="0.25">
      <c r="A51" s="18">
        <f t="shared" si="8"/>
        <v>0</v>
      </c>
      <c r="B51" s="18">
        <f t="shared" si="9"/>
        <v>0</v>
      </c>
      <c r="C51" s="18">
        <f t="shared" si="10"/>
        <v>0</v>
      </c>
      <c r="D51" s="18">
        <f t="shared" si="10"/>
        <v>0</v>
      </c>
      <c r="E51" s="18">
        <f t="shared" si="10"/>
        <v>0</v>
      </c>
      <c r="F51" s="18">
        <f t="shared" si="10"/>
        <v>0</v>
      </c>
      <c r="G51" s="18">
        <f t="shared" si="10"/>
        <v>0</v>
      </c>
      <c r="H51" s="18">
        <f t="shared" si="10"/>
        <v>0</v>
      </c>
    </row>
    <row r="52" spans="1:8" x14ac:dyDescent="0.25">
      <c r="A52" s="18">
        <f t="shared" si="8"/>
        <v>0</v>
      </c>
      <c r="B52" s="18">
        <f t="shared" si="9"/>
        <v>0</v>
      </c>
      <c r="C52" s="18">
        <f t="shared" si="10"/>
        <v>0</v>
      </c>
      <c r="D52" s="18">
        <f t="shared" si="10"/>
        <v>0</v>
      </c>
      <c r="E52" s="18">
        <f t="shared" si="10"/>
        <v>0</v>
      </c>
      <c r="F52" s="18">
        <f t="shared" si="10"/>
        <v>0</v>
      </c>
      <c r="G52" s="18">
        <f t="shared" si="10"/>
        <v>0</v>
      </c>
      <c r="H52" s="18">
        <f t="shared" si="10"/>
        <v>0</v>
      </c>
    </row>
    <row r="53" spans="1:8" x14ac:dyDescent="0.25">
      <c r="A53" s="18">
        <f t="shared" si="8"/>
        <v>0</v>
      </c>
      <c r="B53" s="18">
        <f t="shared" si="9"/>
        <v>0</v>
      </c>
      <c r="C53" s="18">
        <f t="shared" si="10"/>
        <v>0</v>
      </c>
      <c r="D53" s="18">
        <f t="shared" si="10"/>
        <v>0</v>
      </c>
      <c r="E53" s="18">
        <f t="shared" si="10"/>
        <v>0</v>
      </c>
      <c r="F53" s="18">
        <f t="shared" si="10"/>
        <v>0</v>
      </c>
      <c r="G53" s="18">
        <f t="shared" si="10"/>
        <v>0</v>
      </c>
      <c r="H53" s="18">
        <f t="shared" si="10"/>
        <v>0</v>
      </c>
    </row>
    <row r="54" spans="1:8" x14ac:dyDescent="0.25">
      <c r="A54" s="18">
        <f t="shared" si="8"/>
        <v>0</v>
      </c>
      <c r="B54" s="18">
        <f t="shared" si="9"/>
        <v>0</v>
      </c>
      <c r="C54" s="18">
        <f t="shared" si="10"/>
        <v>0</v>
      </c>
      <c r="D54" s="18">
        <f t="shared" si="10"/>
        <v>0</v>
      </c>
      <c r="E54" s="18">
        <f t="shared" si="10"/>
        <v>0</v>
      </c>
      <c r="F54" s="18">
        <f t="shared" si="10"/>
        <v>0</v>
      </c>
      <c r="G54" s="18">
        <f t="shared" si="10"/>
        <v>0</v>
      </c>
      <c r="H54" s="18">
        <f t="shared" si="10"/>
        <v>0</v>
      </c>
    </row>
    <row r="55" spans="1:8" x14ac:dyDescent="0.25">
      <c r="A55" s="18" t="str">
        <f t="shared" ref="A55:A62" si="11">B24</f>
        <v>Onion</v>
      </c>
      <c r="B55" s="18">
        <f t="shared" ref="B55:B61" si="12">H24*$B$44</f>
        <v>0</v>
      </c>
      <c r="C55" s="18">
        <f t="shared" si="10"/>
        <v>0</v>
      </c>
      <c r="D55" s="18">
        <f t="shared" si="10"/>
        <v>0</v>
      </c>
      <c r="E55" s="18">
        <f t="shared" si="10"/>
        <v>0</v>
      </c>
      <c r="F55" s="18">
        <f t="shared" si="10"/>
        <v>0</v>
      </c>
      <c r="G55" s="18">
        <f t="shared" si="10"/>
        <v>0</v>
      </c>
      <c r="H55" s="18">
        <f t="shared" si="10"/>
        <v>0</v>
      </c>
    </row>
    <row r="56" spans="1:8" x14ac:dyDescent="0.25">
      <c r="A56" s="18" t="str">
        <f t="shared" si="11"/>
        <v>Tomato</v>
      </c>
      <c r="B56" s="18">
        <f t="shared" si="12"/>
        <v>0</v>
      </c>
      <c r="C56" s="18">
        <f t="shared" si="10"/>
        <v>0</v>
      </c>
      <c r="D56" s="18">
        <f t="shared" si="10"/>
        <v>0</v>
      </c>
      <c r="E56" s="18">
        <f t="shared" si="10"/>
        <v>0</v>
      </c>
      <c r="F56" s="18">
        <f t="shared" si="10"/>
        <v>0</v>
      </c>
      <c r="G56" s="18">
        <f t="shared" si="10"/>
        <v>0</v>
      </c>
      <c r="H56" s="18">
        <f t="shared" si="10"/>
        <v>0</v>
      </c>
    </row>
    <row r="57" spans="1:8" x14ac:dyDescent="0.25">
      <c r="A57" s="18" t="str">
        <f t="shared" si="11"/>
        <v>Okra</v>
      </c>
      <c r="B57" s="18">
        <f t="shared" si="12"/>
        <v>0</v>
      </c>
      <c r="C57" s="18">
        <f t="shared" si="10"/>
        <v>0</v>
      </c>
      <c r="D57" s="18">
        <f t="shared" si="10"/>
        <v>0</v>
      </c>
      <c r="E57" s="18">
        <f t="shared" si="10"/>
        <v>0</v>
      </c>
      <c r="F57" s="18">
        <f t="shared" si="10"/>
        <v>0</v>
      </c>
      <c r="G57" s="18">
        <f t="shared" si="10"/>
        <v>0</v>
      </c>
      <c r="H57" s="18">
        <f t="shared" si="10"/>
        <v>0</v>
      </c>
    </row>
    <row r="58" spans="1:8" x14ac:dyDescent="0.25">
      <c r="A58" s="18" t="str">
        <f t="shared" si="11"/>
        <v>Chilli</v>
      </c>
      <c r="B58" s="18">
        <f t="shared" si="12"/>
        <v>0</v>
      </c>
      <c r="C58" s="18">
        <f t="shared" si="10"/>
        <v>0</v>
      </c>
      <c r="D58" s="18">
        <f t="shared" si="10"/>
        <v>0</v>
      </c>
      <c r="E58" s="18">
        <f t="shared" si="10"/>
        <v>0</v>
      </c>
      <c r="F58" s="18">
        <f t="shared" si="10"/>
        <v>0</v>
      </c>
      <c r="G58" s="18">
        <f t="shared" si="10"/>
        <v>0</v>
      </c>
      <c r="H58" s="18">
        <f t="shared" si="10"/>
        <v>0</v>
      </c>
    </row>
    <row r="59" spans="1:8" x14ac:dyDescent="0.25">
      <c r="A59" s="18" t="str">
        <f t="shared" si="11"/>
        <v>Brinjal</v>
      </c>
      <c r="B59" s="18">
        <f t="shared" si="12"/>
        <v>0</v>
      </c>
      <c r="C59" s="18">
        <f t="shared" si="10"/>
        <v>0</v>
      </c>
      <c r="D59" s="18">
        <f t="shared" si="10"/>
        <v>0</v>
      </c>
      <c r="E59" s="18">
        <f t="shared" si="10"/>
        <v>0</v>
      </c>
      <c r="F59" s="18">
        <f t="shared" si="10"/>
        <v>0</v>
      </c>
      <c r="G59" s="18">
        <f t="shared" si="10"/>
        <v>0</v>
      </c>
      <c r="H59" s="18">
        <f t="shared" si="10"/>
        <v>0</v>
      </c>
    </row>
    <row r="60" spans="1:8" x14ac:dyDescent="0.25">
      <c r="A60" s="18">
        <f t="shared" si="11"/>
        <v>0</v>
      </c>
      <c r="B60" s="18">
        <f t="shared" si="12"/>
        <v>0</v>
      </c>
      <c r="C60" s="18">
        <f t="shared" si="10"/>
        <v>0</v>
      </c>
      <c r="D60" s="18">
        <f t="shared" si="10"/>
        <v>0</v>
      </c>
      <c r="E60" s="18">
        <f t="shared" si="10"/>
        <v>0</v>
      </c>
      <c r="F60" s="18">
        <f t="shared" si="10"/>
        <v>0</v>
      </c>
      <c r="G60" s="18">
        <f t="shared" si="10"/>
        <v>0</v>
      </c>
      <c r="H60" s="18">
        <f t="shared" si="10"/>
        <v>0</v>
      </c>
    </row>
    <row r="61" spans="1:8" x14ac:dyDescent="0.25">
      <c r="A61" s="18">
        <f t="shared" si="11"/>
        <v>0</v>
      </c>
      <c r="B61" s="18">
        <f t="shared" si="12"/>
        <v>0</v>
      </c>
      <c r="C61" s="18">
        <f t="shared" si="10"/>
        <v>0</v>
      </c>
      <c r="D61" s="18">
        <f t="shared" si="10"/>
        <v>0</v>
      </c>
      <c r="E61" s="18">
        <f t="shared" si="10"/>
        <v>0</v>
      </c>
      <c r="F61" s="18">
        <f t="shared" si="10"/>
        <v>0</v>
      </c>
      <c r="G61" s="18">
        <f t="shared" si="10"/>
        <v>0</v>
      </c>
      <c r="H61" s="18">
        <f t="shared" si="10"/>
        <v>0</v>
      </c>
    </row>
    <row r="62" spans="1:8" x14ac:dyDescent="0.25">
      <c r="A62" s="18">
        <f t="shared" si="11"/>
        <v>0</v>
      </c>
      <c r="B62" s="18">
        <f t="shared" ref="B62" si="13">H31*$B$44</f>
        <v>0</v>
      </c>
      <c r="C62" s="18">
        <f t="shared" ref="C62:H70" si="14">(B62/B$44)*C$44</f>
        <v>0</v>
      </c>
      <c r="D62" s="18">
        <f t="shared" si="14"/>
        <v>0</v>
      </c>
      <c r="E62" s="18">
        <f t="shared" si="14"/>
        <v>0</v>
      </c>
      <c r="F62" s="18">
        <f t="shared" si="14"/>
        <v>0</v>
      </c>
      <c r="G62" s="18">
        <f t="shared" si="14"/>
        <v>0</v>
      </c>
      <c r="H62" s="18">
        <f t="shared" si="14"/>
        <v>0</v>
      </c>
    </row>
    <row r="63" spans="1:8" x14ac:dyDescent="0.25">
      <c r="A63" s="18">
        <f t="shared" ref="A63:A66" si="15">B33</f>
        <v>0</v>
      </c>
      <c r="B63" s="18">
        <f t="shared" ref="B63:B70" si="16">H33*$B$44</f>
        <v>0</v>
      </c>
      <c r="C63" s="18">
        <f t="shared" si="14"/>
        <v>0</v>
      </c>
      <c r="D63" s="18">
        <f t="shared" ref="D63:D66" si="17">(C63/C$44)*D$44</f>
        <v>0</v>
      </c>
      <c r="E63" s="18">
        <f t="shared" ref="E63:E66" si="18">(D63/D$44)*E$44</f>
        <v>0</v>
      </c>
      <c r="F63" s="18">
        <f t="shared" ref="F63:F66" si="19">(E63/E$44)*F$44</f>
        <v>0</v>
      </c>
      <c r="G63" s="18">
        <f t="shared" ref="G63:G66" si="20">(F63/F$44)*G$44</f>
        <v>0</v>
      </c>
      <c r="H63" s="18">
        <f t="shared" ref="H63:H66" si="21">(G63/G$44)*H$44</f>
        <v>0</v>
      </c>
    </row>
    <row r="64" spans="1:8" x14ac:dyDescent="0.25">
      <c r="A64" s="18">
        <f t="shared" si="15"/>
        <v>0</v>
      </c>
      <c r="B64" s="18">
        <f t="shared" si="16"/>
        <v>0</v>
      </c>
      <c r="C64" s="18">
        <f t="shared" si="14"/>
        <v>0</v>
      </c>
      <c r="D64" s="18">
        <f t="shared" si="17"/>
        <v>0</v>
      </c>
      <c r="E64" s="18">
        <f t="shared" si="18"/>
        <v>0</v>
      </c>
      <c r="F64" s="18">
        <f t="shared" si="19"/>
        <v>0</v>
      </c>
      <c r="G64" s="18">
        <f t="shared" si="20"/>
        <v>0</v>
      </c>
      <c r="H64" s="18">
        <f t="shared" si="21"/>
        <v>0</v>
      </c>
    </row>
    <row r="65" spans="1:8" x14ac:dyDescent="0.25">
      <c r="A65" s="18">
        <f t="shared" si="15"/>
        <v>0</v>
      </c>
      <c r="B65" s="18">
        <f t="shared" si="16"/>
        <v>0</v>
      </c>
      <c r="C65" s="18">
        <f t="shared" si="14"/>
        <v>0</v>
      </c>
      <c r="D65" s="18">
        <f t="shared" si="17"/>
        <v>0</v>
      </c>
      <c r="E65" s="18">
        <f t="shared" si="18"/>
        <v>0</v>
      </c>
      <c r="F65" s="18">
        <f t="shared" si="19"/>
        <v>0</v>
      </c>
      <c r="G65" s="18">
        <f t="shared" si="20"/>
        <v>0</v>
      </c>
      <c r="H65" s="18">
        <f t="shared" si="21"/>
        <v>0</v>
      </c>
    </row>
    <row r="66" spans="1:8" x14ac:dyDescent="0.25">
      <c r="A66" s="18">
        <f t="shared" si="15"/>
        <v>0</v>
      </c>
      <c r="B66" s="18">
        <f t="shared" si="16"/>
        <v>0</v>
      </c>
      <c r="C66" s="18">
        <f t="shared" si="14"/>
        <v>0</v>
      </c>
      <c r="D66" s="18">
        <f t="shared" si="17"/>
        <v>0</v>
      </c>
      <c r="E66" s="18">
        <f t="shared" si="18"/>
        <v>0</v>
      </c>
      <c r="F66" s="18">
        <f t="shared" si="19"/>
        <v>0</v>
      </c>
      <c r="G66" s="18">
        <f t="shared" si="20"/>
        <v>0</v>
      </c>
      <c r="H66" s="18">
        <f t="shared" si="21"/>
        <v>0</v>
      </c>
    </row>
    <row r="67" spans="1:8" x14ac:dyDescent="0.25">
      <c r="A67" s="18" t="str">
        <f>B37</f>
        <v>Pomegranate</v>
      </c>
      <c r="B67" s="18">
        <f t="shared" si="16"/>
        <v>0</v>
      </c>
      <c r="C67" s="18">
        <f t="shared" si="14"/>
        <v>0</v>
      </c>
      <c r="D67" s="18">
        <f t="shared" si="14"/>
        <v>0</v>
      </c>
      <c r="E67" s="18">
        <f t="shared" si="14"/>
        <v>0</v>
      </c>
      <c r="F67" s="18">
        <f t="shared" si="14"/>
        <v>0</v>
      </c>
      <c r="G67" s="18">
        <f t="shared" si="14"/>
        <v>0</v>
      </c>
      <c r="H67" s="18">
        <f t="shared" si="14"/>
        <v>0</v>
      </c>
    </row>
    <row r="68" spans="1:8" x14ac:dyDescent="0.25">
      <c r="A68" s="18" t="str">
        <f t="shared" ref="A68:A70" si="22">B38</f>
        <v>Custard Apple</v>
      </c>
      <c r="B68" s="18">
        <f t="shared" si="16"/>
        <v>0</v>
      </c>
      <c r="C68" s="18">
        <f t="shared" si="14"/>
        <v>0</v>
      </c>
      <c r="D68" s="18">
        <f t="shared" si="14"/>
        <v>0</v>
      </c>
      <c r="E68" s="18">
        <f t="shared" si="14"/>
        <v>0</v>
      </c>
      <c r="F68" s="18">
        <f t="shared" si="14"/>
        <v>0</v>
      </c>
      <c r="G68" s="18">
        <f t="shared" si="14"/>
        <v>0</v>
      </c>
      <c r="H68" s="18">
        <f t="shared" si="14"/>
        <v>0</v>
      </c>
    </row>
    <row r="69" spans="1:8" x14ac:dyDescent="0.25">
      <c r="A69" s="18" t="str">
        <f t="shared" si="22"/>
        <v>Guava</v>
      </c>
      <c r="B69" s="18">
        <f t="shared" si="16"/>
        <v>0</v>
      </c>
      <c r="C69" s="18">
        <f t="shared" si="14"/>
        <v>0</v>
      </c>
      <c r="D69" s="18">
        <f t="shared" si="14"/>
        <v>0</v>
      </c>
      <c r="E69" s="18">
        <f t="shared" si="14"/>
        <v>0</v>
      </c>
      <c r="F69" s="18">
        <f t="shared" si="14"/>
        <v>0</v>
      </c>
      <c r="G69" s="18">
        <f t="shared" si="14"/>
        <v>0</v>
      </c>
      <c r="H69" s="18">
        <f t="shared" si="14"/>
        <v>0</v>
      </c>
    </row>
    <row r="70" spans="1:8" x14ac:dyDescent="0.25">
      <c r="A70" s="18" t="str">
        <f t="shared" si="22"/>
        <v>Citrus</v>
      </c>
      <c r="B70" s="18">
        <f t="shared" si="16"/>
        <v>0</v>
      </c>
      <c r="C70" s="18">
        <f t="shared" si="14"/>
        <v>0</v>
      </c>
      <c r="D70" s="18">
        <f t="shared" si="14"/>
        <v>0</v>
      </c>
      <c r="E70" s="18">
        <f t="shared" ref="E70" si="23">(D70/D$44)*E$44</f>
        <v>0</v>
      </c>
      <c r="F70" s="18">
        <f t="shared" ref="F70" si="24">(E70/E$44)*F$44</f>
        <v>0</v>
      </c>
      <c r="G70" s="18">
        <f t="shared" ref="G70:H70" si="25">(F70/F$44)*G$44</f>
        <v>0</v>
      </c>
      <c r="H70" s="18">
        <f t="shared" si="25"/>
        <v>0</v>
      </c>
    </row>
    <row r="71" spans="1:8" ht="18.75" x14ac:dyDescent="0.3">
      <c r="A71" s="552" t="s">
        <v>574</v>
      </c>
      <c r="B71" s="553"/>
      <c r="C71" s="553"/>
      <c r="D71" s="553"/>
      <c r="E71" s="553"/>
      <c r="F71" s="553"/>
      <c r="G71" s="553"/>
      <c r="H71" s="554"/>
    </row>
    <row r="72" spans="1:8" x14ac:dyDescent="0.25">
      <c r="A72" s="545" t="s">
        <v>0</v>
      </c>
      <c r="B72" s="53">
        <v>0.05</v>
      </c>
      <c r="C72" s="53">
        <f>B72+0.05</f>
        <v>0.1</v>
      </c>
      <c r="D72" s="53">
        <f t="shared" ref="D72:G72" si="26">C72+0.05</f>
        <v>0.15000000000000002</v>
      </c>
      <c r="E72" s="53">
        <f t="shared" si="26"/>
        <v>0.2</v>
      </c>
      <c r="F72" s="53">
        <f t="shared" si="26"/>
        <v>0.25</v>
      </c>
      <c r="G72" s="53">
        <f t="shared" si="26"/>
        <v>0.3</v>
      </c>
      <c r="H72" s="53">
        <f>G72+0.05</f>
        <v>0.35</v>
      </c>
    </row>
    <row r="73" spans="1:8" x14ac:dyDescent="0.25">
      <c r="A73" s="546"/>
      <c r="B73" s="29" t="s">
        <v>2</v>
      </c>
      <c r="C73" s="29" t="s">
        <v>3</v>
      </c>
      <c r="D73" s="29" t="s">
        <v>4</v>
      </c>
      <c r="E73" s="29" t="s">
        <v>5</v>
      </c>
      <c r="F73" s="29" t="s">
        <v>6</v>
      </c>
      <c r="G73" s="29" t="s">
        <v>168</v>
      </c>
      <c r="H73" s="29" t="s">
        <v>167</v>
      </c>
    </row>
    <row r="74" spans="1:8" s="13" customFormat="1" x14ac:dyDescent="0.25">
      <c r="A74" s="18" t="str">
        <f t="shared" ref="A74:A98" si="27">A46</f>
        <v>Onion</v>
      </c>
      <c r="B74" s="18">
        <f t="shared" ref="B74:H74" si="28">H14*$B$72</f>
        <v>0</v>
      </c>
      <c r="C74" s="18">
        <f t="shared" si="28"/>
        <v>0</v>
      </c>
      <c r="D74" s="18">
        <f t="shared" si="28"/>
        <v>0</v>
      </c>
      <c r="E74" s="18">
        <f t="shared" si="28"/>
        <v>0</v>
      </c>
      <c r="F74" s="18">
        <f t="shared" si="28"/>
        <v>0</v>
      </c>
      <c r="G74" s="18">
        <f t="shared" si="28"/>
        <v>0</v>
      </c>
      <c r="H74" s="18">
        <f t="shared" si="28"/>
        <v>0</v>
      </c>
    </row>
    <row r="75" spans="1:8" x14ac:dyDescent="0.25">
      <c r="A75" s="18" t="str">
        <f t="shared" si="27"/>
        <v>Tomato</v>
      </c>
      <c r="B75" s="18">
        <f>H15*$B$72*0</f>
        <v>0</v>
      </c>
      <c r="C75" s="18">
        <f>(B75/B72)*C72</f>
        <v>0</v>
      </c>
      <c r="D75" s="18">
        <f t="shared" ref="D75:G75" si="29">(C75/C72)*D72</f>
        <v>0</v>
      </c>
      <c r="E75" s="18">
        <f t="shared" si="29"/>
        <v>0</v>
      </c>
      <c r="F75" s="18">
        <f t="shared" si="29"/>
        <v>0</v>
      </c>
      <c r="G75" s="18">
        <f t="shared" si="29"/>
        <v>0</v>
      </c>
      <c r="H75" s="18">
        <f>(G75/G72)*H72</f>
        <v>0</v>
      </c>
    </row>
    <row r="76" spans="1:8" x14ac:dyDescent="0.25">
      <c r="A76" s="18" t="str">
        <f t="shared" si="27"/>
        <v>Okra</v>
      </c>
      <c r="B76" s="18">
        <f t="shared" ref="B76:B82" si="30">H16*$B$72</f>
        <v>0</v>
      </c>
      <c r="C76" s="18">
        <f>(B76/B72)*C72</f>
        <v>0</v>
      </c>
      <c r="D76" s="18">
        <f>(C76/C72)*D72</f>
        <v>0</v>
      </c>
      <c r="E76" s="18">
        <f t="shared" ref="E76:G76" si="31">(D76/D72)*E72</f>
        <v>0</v>
      </c>
      <c r="F76" s="18">
        <f t="shared" si="31"/>
        <v>0</v>
      </c>
      <c r="G76" s="18">
        <f t="shared" si="31"/>
        <v>0</v>
      </c>
      <c r="H76" s="18">
        <f>(G76/G72)*H72</f>
        <v>0</v>
      </c>
    </row>
    <row r="77" spans="1:8" x14ac:dyDescent="0.25">
      <c r="A77" s="18" t="str">
        <f t="shared" si="27"/>
        <v>Chilli</v>
      </c>
      <c r="B77" s="18">
        <f>H17*$B$72*0</f>
        <v>0</v>
      </c>
      <c r="C77" s="18">
        <f t="shared" ref="C77:H95" si="32">(B77/B$72)*C$72</f>
        <v>0</v>
      </c>
      <c r="D77" s="18">
        <f t="shared" si="32"/>
        <v>0</v>
      </c>
      <c r="E77" s="18">
        <f t="shared" si="32"/>
        <v>0</v>
      </c>
      <c r="F77" s="18">
        <f t="shared" si="32"/>
        <v>0</v>
      </c>
      <c r="G77" s="18">
        <f t="shared" si="32"/>
        <v>0</v>
      </c>
      <c r="H77" s="18">
        <f t="shared" si="32"/>
        <v>0</v>
      </c>
    </row>
    <row r="78" spans="1:8" x14ac:dyDescent="0.25">
      <c r="A78" s="18" t="str">
        <f t="shared" si="27"/>
        <v>Potato</v>
      </c>
      <c r="B78" s="18">
        <f t="shared" si="30"/>
        <v>0</v>
      </c>
      <c r="C78" s="18">
        <f t="shared" si="32"/>
        <v>0</v>
      </c>
      <c r="D78" s="18">
        <f t="shared" si="32"/>
        <v>0</v>
      </c>
      <c r="E78" s="18">
        <f t="shared" si="32"/>
        <v>0</v>
      </c>
      <c r="F78" s="18">
        <f t="shared" si="32"/>
        <v>0</v>
      </c>
      <c r="G78" s="18">
        <f t="shared" si="32"/>
        <v>0</v>
      </c>
      <c r="H78" s="18">
        <f t="shared" si="32"/>
        <v>0</v>
      </c>
    </row>
    <row r="79" spans="1:8" x14ac:dyDescent="0.25">
      <c r="A79" s="18">
        <f t="shared" si="27"/>
        <v>0</v>
      </c>
      <c r="B79" s="18">
        <f>H19*$B$72*0</f>
        <v>0</v>
      </c>
      <c r="C79" s="18">
        <f t="shared" si="32"/>
        <v>0</v>
      </c>
      <c r="D79" s="18">
        <f t="shared" si="32"/>
        <v>0</v>
      </c>
      <c r="E79" s="18">
        <f t="shared" si="32"/>
        <v>0</v>
      </c>
      <c r="F79" s="18">
        <f t="shared" si="32"/>
        <v>0</v>
      </c>
      <c r="G79" s="18">
        <f t="shared" si="32"/>
        <v>0</v>
      </c>
      <c r="H79" s="18">
        <f t="shared" si="32"/>
        <v>0</v>
      </c>
    </row>
    <row r="80" spans="1:8" x14ac:dyDescent="0.25">
      <c r="A80" s="18">
        <f t="shared" si="27"/>
        <v>0</v>
      </c>
      <c r="B80" s="18">
        <f>H20*$B$72*0</f>
        <v>0</v>
      </c>
      <c r="C80" s="18">
        <f t="shared" si="32"/>
        <v>0</v>
      </c>
      <c r="D80" s="18">
        <f t="shared" si="32"/>
        <v>0</v>
      </c>
      <c r="E80" s="18">
        <f t="shared" si="32"/>
        <v>0</v>
      </c>
      <c r="F80" s="18">
        <f t="shared" si="32"/>
        <v>0</v>
      </c>
      <c r="G80" s="18">
        <f t="shared" si="32"/>
        <v>0</v>
      </c>
      <c r="H80" s="18">
        <f t="shared" si="32"/>
        <v>0</v>
      </c>
    </row>
    <row r="81" spans="1:8" x14ac:dyDescent="0.25">
      <c r="A81" s="18">
        <f t="shared" si="27"/>
        <v>0</v>
      </c>
      <c r="B81" s="18">
        <f t="shared" si="30"/>
        <v>0</v>
      </c>
      <c r="C81" s="18">
        <f t="shared" si="32"/>
        <v>0</v>
      </c>
      <c r="D81" s="18">
        <f t="shared" si="32"/>
        <v>0</v>
      </c>
      <c r="E81" s="18">
        <f t="shared" si="32"/>
        <v>0</v>
      </c>
      <c r="F81" s="18">
        <f t="shared" si="32"/>
        <v>0</v>
      </c>
      <c r="G81" s="18">
        <f t="shared" si="32"/>
        <v>0</v>
      </c>
      <c r="H81" s="18">
        <f t="shared" si="32"/>
        <v>0</v>
      </c>
    </row>
    <row r="82" spans="1:8" x14ac:dyDescent="0.25">
      <c r="A82" s="18">
        <f t="shared" si="27"/>
        <v>0</v>
      </c>
      <c r="B82" s="18">
        <f t="shared" si="30"/>
        <v>0</v>
      </c>
      <c r="C82" s="18">
        <f t="shared" si="32"/>
        <v>0</v>
      </c>
      <c r="D82" s="18">
        <f t="shared" si="32"/>
        <v>0</v>
      </c>
      <c r="E82" s="18">
        <f t="shared" si="32"/>
        <v>0</v>
      </c>
      <c r="F82" s="18">
        <f t="shared" si="32"/>
        <v>0</v>
      </c>
      <c r="G82" s="18">
        <f t="shared" si="32"/>
        <v>0</v>
      </c>
      <c r="H82" s="18">
        <f t="shared" si="32"/>
        <v>0</v>
      </c>
    </row>
    <row r="83" spans="1:8" x14ac:dyDescent="0.25">
      <c r="A83" s="18" t="str">
        <f t="shared" si="27"/>
        <v>Onion</v>
      </c>
      <c r="B83" s="18">
        <f t="shared" ref="B83:B90" si="33">H24*$B$72</f>
        <v>0</v>
      </c>
      <c r="C83" s="18">
        <f t="shared" si="32"/>
        <v>0</v>
      </c>
      <c r="D83" s="18">
        <f t="shared" si="32"/>
        <v>0</v>
      </c>
      <c r="E83" s="18">
        <f t="shared" si="32"/>
        <v>0</v>
      </c>
      <c r="F83" s="18">
        <f t="shared" si="32"/>
        <v>0</v>
      </c>
      <c r="G83" s="18">
        <f t="shared" si="32"/>
        <v>0</v>
      </c>
      <c r="H83" s="18">
        <f t="shared" si="32"/>
        <v>0</v>
      </c>
    </row>
    <row r="84" spans="1:8" x14ac:dyDescent="0.25">
      <c r="A84" s="18" t="str">
        <f t="shared" si="27"/>
        <v>Tomato</v>
      </c>
      <c r="B84" s="18">
        <f t="shared" si="33"/>
        <v>0</v>
      </c>
      <c r="C84" s="18">
        <f t="shared" si="32"/>
        <v>0</v>
      </c>
      <c r="D84" s="18">
        <f t="shared" si="32"/>
        <v>0</v>
      </c>
      <c r="E84" s="18">
        <f t="shared" si="32"/>
        <v>0</v>
      </c>
      <c r="F84" s="18">
        <f t="shared" si="32"/>
        <v>0</v>
      </c>
      <c r="G84" s="18">
        <f t="shared" si="32"/>
        <v>0</v>
      </c>
      <c r="H84" s="18">
        <f t="shared" si="32"/>
        <v>0</v>
      </c>
    </row>
    <row r="85" spans="1:8" x14ac:dyDescent="0.25">
      <c r="A85" s="18" t="str">
        <f t="shared" si="27"/>
        <v>Okra</v>
      </c>
      <c r="B85" s="18">
        <f t="shared" si="33"/>
        <v>0</v>
      </c>
      <c r="C85" s="18">
        <f t="shared" si="32"/>
        <v>0</v>
      </c>
      <c r="D85" s="18">
        <f t="shared" si="32"/>
        <v>0</v>
      </c>
      <c r="E85" s="18">
        <f t="shared" si="32"/>
        <v>0</v>
      </c>
      <c r="F85" s="18">
        <f t="shared" si="32"/>
        <v>0</v>
      </c>
      <c r="G85" s="18">
        <f t="shared" si="32"/>
        <v>0</v>
      </c>
      <c r="H85" s="18">
        <f t="shared" si="32"/>
        <v>0</v>
      </c>
    </row>
    <row r="86" spans="1:8" x14ac:dyDescent="0.25">
      <c r="A86" s="18" t="str">
        <f t="shared" si="27"/>
        <v>Chilli</v>
      </c>
      <c r="B86" s="18">
        <f t="shared" si="33"/>
        <v>0</v>
      </c>
      <c r="C86" s="18">
        <f t="shared" si="32"/>
        <v>0</v>
      </c>
      <c r="D86" s="18">
        <f t="shared" si="32"/>
        <v>0</v>
      </c>
      <c r="E86" s="18">
        <f t="shared" si="32"/>
        <v>0</v>
      </c>
      <c r="F86" s="18">
        <f t="shared" si="32"/>
        <v>0</v>
      </c>
      <c r="G86" s="18">
        <f t="shared" si="32"/>
        <v>0</v>
      </c>
      <c r="H86" s="18">
        <f t="shared" si="32"/>
        <v>0</v>
      </c>
    </row>
    <row r="87" spans="1:8" x14ac:dyDescent="0.25">
      <c r="A87" s="18" t="str">
        <f t="shared" si="27"/>
        <v>Brinjal</v>
      </c>
      <c r="B87" s="18">
        <f t="shared" si="33"/>
        <v>0</v>
      </c>
      <c r="C87" s="18">
        <f t="shared" si="32"/>
        <v>0</v>
      </c>
      <c r="D87" s="18">
        <f t="shared" si="32"/>
        <v>0</v>
      </c>
      <c r="E87" s="18">
        <f t="shared" si="32"/>
        <v>0</v>
      </c>
      <c r="F87" s="18">
        <f t="shared" si="32"/>
        <v>0</v>
      </c>
      <c r="G87" s="18">
        <f t="shared" si="32"/>
        <v>0</v>
      </c>
      <c r="H87" s="18">
        <f t="shared" si="32"/>
        <v>0</v>
      </c>
    </row>
    <row r="88" spans="1:8" x14ac:dyDescent="0.25">
      <c r="A88" s="18">
        <f t="shared" si="27"/>
        <v>0</v>
      </c>
      <c r="B88" s="18">
        <f t="shared" si="33"/>
        <v>0</v>
      </c>
      <c r="C88" s="18">
        <f t="shared" si="32"/>
        <v>0</v>
      </c>
      <c r="D88" s="18">
        <f t="shared" si="32"/>
        <v>0</v>
      </c>
      <c r="E88" s="18">
        <f t="shared" si="32"/>
        <v>0</v>
      </c>
      <c r="F88" s="18">
        <f t="shared" si="32"/>
        <v>0</v>
      </c>
      <c r="G88" s="18">
        <f t="shared" si="32"/>
        <v>0</v>
      </c>
      <c r="H88" s="18">
        <f t="shared" si="32"/>
        <v>0</v>
      </c>
    </row>
    <row r="89" spans="1:8" x14ac:dyDescent="0.25">
      <c r="A89" s="18">
        <f t="shared" si="27"/>
        <v>0</v>
      </c>
      <c r="B89" s="18">
        <f t="shared" si="33"/>
        <v>0</v>
      </c>
      <c r="C89" s="18">
        <f t="shared" si="32"/>
        <v>0</v>
      </c>
      <c r="D89" s="18">
        <f t="shared" si="32"/>
        <v>0</v>
      </c>
      <c r="E89" s="18">
        <f t="shared" si="32"/>
        <v>0</v>
      </c>
      <c r="F89" s="18">
        <f t="shared" si="32"/>
        <v>0</v>
      </c>
      <c r="G89" s="18">
        <f t="shared" si="32"/>
        <v>0</v>
      </c>
      <c r="H89" s="18">
        <f t="shared" si="32"/>
        <v>0</v>
      </c>
    </row>
    <row r="90" spans="1:8" x14ac:dyDescent="0.25">
      <c r="A90" s="18">
        <f t="shared" si="27"/>
        <v>0</v>
      </c>
      <c r="B90" s="18">
        <f t="shared" si="33"/>
        <v>0</v>
      </c>
      <c r="C90" s="18">
        <f t="shared" si="32"/>
        <v>0</v>
      </c>
      <c r="D90" s="18">
        <f t="shared" si="32"/>
        <v>0</v>
      </c>
      <c r="E90" s="18">
        <f t="shared" si="32"/>
        <v>0</v>
      </c>
      <c r="F90" s="18">
        <f t="shared" si="32"/>
        <v>0</v>
      </c>
      <c r="G90" s="18">
        <f t="shared" si="32"/>
        <v>0</v>
      </c>
      <c r="H90" s="18">
        <f t="shared" si="32"/>
        <v>0</v>
      </c>
    </row>
    <row r="91" spans="1:8" x14ac:dyDescent="0.25">
      <c r="A91" s="18">
        <f t="shared" si="27"/>
        <v>0</v>
      </c>
      <c r="B91" s="18">
        <f t="shared" ref="B91:B98" si="34">H33*$B$72</f>
        <v>0</v>
      </c>
      <c r="C91" s="18">
        <f t="shared" si="32"/>
        <v>0</v>
      </c>
      <c r="D91" s="18">
        <f t="shared" ref="D91:D94" si="35">(C91/C$72)*D$72</f>
        <v>0</v>
      </c>
      <c r="E91" s="18">
        <f t="shared" ref="E91:E94" si="36">(D91/D$72)*E$72</f>
        <v>0</v>
      </c>
      <c r="F91" s="18">
        <f t="shared" ref="F91:F94" si="37">(E91/E$72)*F$72</f>
        <v>0</v>
      </c>
      <c r="G91" s="18">
        <f t="shared" ref="G91:G94" si="38">(F91/F$72)*G$72</f>
        <v>0</v>
      </c>
      <c r="H91" s="18">
        <f t="shared" si="32"/>
        <v>0</v>
      </c>
    </row>
    <row r="92" spans="1:8" x14ac:dyDescent="0.25">
      <c r="A92" s="18">
        <f t="shared" si="27"/>
        <v>0</v>
      </c>
      <c r="B92" s="18">
        <f t="shared" si="34"/>
        <v>0</v>
      </c>
      <c r="C92" s="18">
        <f t="shared" si="32"/>
        <v>0</v>
      </c>
      <c r="D92" s="18">
        <f t="shared" si="35"/>
        <v>0</v>
      </c>
      <c r="E92" s="18">
        <f t="shared" si="36"/>
        <v>0</v>
      </c>
      <c r="F92" s="18">
        <f t="shared" si="37"/>
        <v>0</v>
      </c>
      <c r="G92" s="18">
        <f t="shared" si="38"/>
        <v>0</v>
      </c>
      <c r="H92" s="18"/>
    </row>
    <row r="93" spans="1:8" x14ac:dyDescent="0.25">
      <c r="A93" s="18">
        <f t="shared" si="27"/>
        <v>0</v>
      </c>
      <c r="B93" s="18">
        <f t="shared" si="34"/>
        <v>0</v>
      </c>
      <c r="C93" s="18">
        <f t="shared" si="32"/>
        <v>0</v>
      </c>
      <c r="D93" s="18">
        <f t="shared" si="35"/>
        <v>0</v>
      </c>
      <c r="E93" s="18">
        <f t="shared" si="36"/>
        <v>0</v>
      </c>
      <c r="F93" s="18">
        <f t="shared" si="37"/>
        <v>0</v>
      </c>
      <c r="G93" s="18">
        <f t="shared" si="38"/>
        <v>0</v>
      </c>
      <c r="H93" s="18"/>
    </row>
    <row r="94" spans="1:8" x14ac:dyDescent="0.25">
      <c r="A94" s="18">
        <f t="shared" si="27"/>
        <v>0</v>
      </c>
      <c r="B94" s="18">
        <f t="shared" si="34"/>
        <v>0</v>
      </c>
      <c r="C94" s="18">
        <f t="shared" si="32"/>
        <v>0</v>
      </c>
      <c r="D94" s="18">
        <f t="shared" si="35"/>
        <v>0</v>
      </c>
      <c r="E94" s="18">
        <f t="shared" si="36"/>
        <v>0</v>
      </c>
      <c r="F94" s="18">
        <f t="shared" si="37"/>
        <v>0</v>
      </c>
      <c r="G94" s="18">
        <f t="shared" si="38"/>
        <v>0</v>
      </c>
      <c r="H94" s="18"/>
    </row>
    <row r="95" spans="1:8" x14ac:dyDescent="0.25">
      <c r="A95" s="18" t="str">
        <f t="shared" si="27"/>
        <v>Pomegranate</v>
      </c>
      <c r="B95" s="18">
        <f t="shared" si="34"/>
        <v>0</v>
      </c>
      <c r="C95" s="18">
        <f t="shared" si="32"/>
        <v>0</v>
      </c>
      <c r="D95" s="18">
        <f t="shared" si="32"/>
        <v>0</v>
      </c>
      <c r="E95" s="18">
        <f t="shared" si="32"/>
        <v>0</v>
      </c>
      <c r="F95" s="18">
        <f t="shared" si="32"/>
        <v>0</v>
      </c>
      <c r="G95" s="18">
        <f t="shared" si="32"/>
        <v>0</v>
      </c>
      <c r="H95" s="18">
        <f t="shared" si="32"/>
        <v>0</v>
      </c>
    </row>
    <row r="96" spans="1:8" x14ac:dyDescent="0.25">
      <c r="A96" s="18" t="str">
        <f t="shared" si="27"/>
        <v>Custard Apple</v>
      </c>
      <c r="B96" s="18">
        <f t="shared" si="34"/>
        <v>0</v>
      </c>
      <c r="C96" s="18">
        <f t="shared" ref="C96:H98" si="39">(B96/B$72)*C$72</f>
        <v>0</v>
      </c>
      <c r="D96" s="18">
        <f t="shared" si="39"/>
        <v>0</v>
      </c>
      <c r="E96" s="18">
        <f t="shared" si="39"/>
        <v>0</v>
      </c>
      <c r="F96" s="18">
        <f t="shared" si="39"/>
        <v>0</v>
      </c>
      <c r="G96" s="18">
        <f t="shared" si="39"/>
        <v>0</v>
      </c>
      <c r="H96" s="18">
        <f t="shared" si="39"/>
        <v>0</v>
      </c>
    </row>
    <row r="97" spans="1:9" x14ac:dyDescent="0.25">
      <c r="A97" s="18" t="str">
        <f t="shared" si="27"/>
        <v>Guava</v>
      </c>
      <c r="B97" s="18">
        <f t="shared" si="34"/>
        <v>0</v>
      </c>
      <c r="C97" s="18">
        <f t="shared" si="39"/>
        <v>0</v>
      </c>
      <c r="D97" s="18">
        <f t="shared" si="39"/>
        <v>0</v>
      </c>
      <c r="E97" s="18">
        <f t="shared" si="39"/>
        <v>0</v>
      </c>
      <c r="F97" s="18">
        <f t="shared" si="39"/>
        <v>0</v>
      </c>
      <c r="G97" s="18">
        <f t="shared" si="39"/>
        <v>0</v>
      </c>
      <c r="H97" s="18">
        <f t="shared" si="39"/>
        <v>0</v>
      </c>
    </row>
    <row r="98" spans="1:9" x14ac:dyDescent="0.25">
      <c r="A98" s="18" t="str">
        <f t="shared" si="27"/>
        <v>Citrus</v>
      </c>
      <c r="B98" s="18">
        <f t="shared" si="34"/>
        <v>0</v>
      </c>
      <c r="C98" s="18">
        <f t="shared" si="39"/>
        <v>0</v>
      </c>
      <c r="D98" s="18">
        <f t="shared" ref="D98" si="40">(C98/C$72)*D$72</f>
        <v>0</v>
      </c>
      <c r="E98" s="18">
        <f t="shared" ref="E98" si="41">(D98/D$72)*E$72</f>
        <v>0</v>
      </c>
      <c r="F98" s="18">
        <f t="shared" ref="F98" si="42">(E98/E$72)*F$72</f>
        <v>0</v>
      </c>
      <c r="G98" s="18">
        <f t="shared" ref="G98" si="43">(F98/F$72)*G$72</f>
        <v>0</v>
      </c>
      <c r="H98" s="18">
        <f t="shared" ref="H98" si="44">(G98/G$72)*H$72</f>
        <v>0</v>
      </c>
      <c r="I98" s="54"/>
    </row>
    <row r="99" spans="1:9" ht="18.75" x14ac:dyDescent="0.3">
      <c r="A99" s="552" t="s">
        <v>575</v>
      </c>
      <c r="B99" s="553"/>
      <c r="C99" s="553"/>
      <c r="D99" s="553"/>
      <c r="E99" s="553"/>
      <c r="F99" s="553"/>
      <c r="G99" s="553"/>
      <c r="H99" s="554"/>
    </row>
    <row r="100" spans="1:9" x14ac:dyDescent="0.25">
      <c r="A100" s="555" t="s">
        <v>0</v>
      </c>
      <c r="B100" s="55">
        <v>0.65</v>
      </c>
      <c r="C100" s="56">
        <f>B100+0.05</f>
        <v>0.70000000000000007</v>
      </c>
      <c r="D100" s="56">
        <f t="shared" ref="D100:G100" si="45">C100+0.05</f>
        <v>0.75000000000000011</v>
      </c>
      <c r="E100" s="56">
        <f t="shared" si="45"/>
        <v>0.80000000000000016</v>
      </c>
      <c r="F100" s="56">
        <f t="shared" si="45"/>
        <v>0.8500000000000002</v>
      </c>
      <c r="G100" s="56">
        <f t="shared" si="45"/>
        <v>0.90000000000000024</v>
      </c>
      <c r="H100" s="56">
        <f>G100+0.05</f>
        <v>0.95000000000000029</v>
      </c>
    </row>
    <row r="101" spans="1:9" x14ac:dyDescent="0.25">
      <c r="A101" s="556"/>
      <c r="B101" s="29" t="s">
        <v>2</v>
      </c>
      <c r="C101" s="29" t="s">
        <v>3</v>
      </c>
      <c r="D101" s="29" t="s">
        <v>4</v>
      </c>
      <c r="E101" s="29" t="s">
        <v>5</v>
      </c>
      <c r="F101" s="29" t="s">
        <v>6</v>
      </c>
      <c r="G101" s="29" t="s">
        <v>168</v>
      </c>
      <c r="H101" s="29" t="s">
        <v>167</v>
      </c>
    </row>
    <row r="102" spans="1:9" s="13" customFormat="1" x14ac:dyDescent="0.25">
      <c r="A102" s="18" t="str">
        <f t="shared" ref="A102:A126" si="46">A74</f>
        <v>Onion</v>
      </c>
      <c r="B102" s="18">
        <f t="shared" ref="B102:B110" si="47">D14*$B$100</f>
        <v>0</v>
      </c>
      <c r="C102" s="57">
        <f t="shared" ref="C102:H117" si="48">(B102/B$100)*C$100</f>
        <v>0</v>
      </c>
      <c r="D102" s="57">
        <f t="shared" si="48"/>
        <v>0</v>
      </c>
      <c r="E102" s="57">
        <f t="shared" si="48"/>
        <v>0</v>
      </c>
      <c r="F102" s="57">
        <f t="shared" si="48"/>
        <v>0</v>
      </c>
      <c r="G102" s="57">
        <f t="shared" si="48"/>
        <v>0</v>
      </c>
      <c r="H102" s="57">
        <f t="shared" si="48"/>
        <v>0</v>
      </c>
    </row>
    <row r="103" spans="1:9" x14ac:dyDescent="0.25">
      <c r="A103" s="18" t="str">
        <f t="shared" si="46"/>
        <v>Tomato</v>
      </c>
      <c r="B103" s="18">
        <f t="shared" si="47"/>
        <v>0</v>
      </c>
      <c r="C103" s="57">
        <f t="shared" si="48"/>
        <v>0</v>
      </c>
      <c r="D103" s="57">
        <f>(C103/C100)*D100</f>
        <v>0</v>
      </c>
      <c r="E103" s="57">
        <f t="shared" ref="E103:G103" si="49">(D103/D100)*E100</f>
        <v>0</v>
      </c>
      <c r="F103" s="57">
        <f t="shared" si="49"/>
        <v>0</v>
      </c>
      <c r="G103" s="57">
        <f t="shared" si="49"/>
        <v>0</v>
      </c>
      <c r="H103" s="57">
        <f>(G103/G100)*H100</f>
        <v>0</v>
      </c>
    </row>
    <row r="104" spans="1:9" x14ac:dyDescent="0.25">
      <c r="A104" s="18" t="str">
        <f t="shared" si="46"/>
        <v>Okra</v>
      </c>
      <c r="B104" s="18">
        <f t="shared" si="47"/>
        <v>0</v>
      </c>
      <c r="C104" s="57">
        <f t="shared" si="48"/>
        <v>0</v>
      </c>
      <c r="D104" s="57">
        <f t="shared" si="48"/>
        <v>0</v>
      </c>
      <c r="E104" s="57">
        <f t="shared" si="48"/>
        <v>0</v>
      </c>
      <c r="F104" s="57">
        <f t="shared" si="48"/>
        <v>0</v>
      </c>
      <c r="G104" s="57">
        <f t="shared" si="48"/>
        <v>0</v>
      </c>
      <c r="H104" s="57">
        <f t="shared" si="48"/>
        <v>0</v>
      </c>
    </row>
    <row r="105" spans="1:9" x14ac:dyDescent="0.25">
      <c r="A105" s="18" t="str">
        <f t="shared" si="46"/>
        <v>Chilli</v>
      </c>
      <c r="B105" s="18">
        <f t="shared" si="47"/>
        <v>0</v>
      </c>
      <c r="C105" s="57">
        <f t="shared" si="48"/>
        <v>0</v>
      </c>
      <c r="D105" s="57">
        <f t="shared" si="48"/>
        <v>0</v>
      </c>
      <c r="E105" s="57">
        <f t="shared" si="48"/>
        <v>0</v>
      </c>
      <c r="F105" s="57">
        <f t="shared" si="48"/>
        <v>0</v>
      </c>
      <c r="G105" s="57">
        <f t="shared" si="48"/>
        <v>0</v>
      </c>
      <c r="H105" s="57">
        <f t="shared" si="48"/>
        <v>0</v>
      </c>
    </row>
    <row r="106" spans="1:9" x14ac:dyDescent="0.25">
      <c r="A106" s="18" t="str">
        <f t="shared" si="46"/>
        <v>Potato</v>
      </c>
      <c r="B106" s="60">
        <f t="shared" si="47"/>
        <v>0</v>
      </c>
      <c r="C106" s="57">
        <f t="shared" si="48"/>
        <v>0</v>
      </c>
      <c r="D106" s="57">
        <f t="shared" si="48"/>
        <v>0</v>
      </c>
      <c r="E106" s="57">
        <f t="shared" si="48"/>
        <v>0</v>
      </c>
      <c r="F106" s="57">
        <f t="shared" si="48"/>
        <v>0</v>
      </c>
      <c r="G106" s="57">
        <f t="shared" si="48"/>
        <v>0</v>
      </c>
      <c r="H106" s="57">
        <f t="shared" si="48"/>
        <v>0</v>
      </c>
    </row>
    <row r="107" spans="1:9" x14ac:dyDescent="0.25">
      <c r="A107" s="18">
        <f t="shared" si="46"/>
        <v>0</v>
      </c>
      <c r="B107" s="18">
        <f t="shared" si="47"/>
        <v>0</v>
      </c>
      <c r="C107" s="57">
        <f t="shared" si="48"/>
        <v>0</v>
      </c>
      <c r="D107" s="57">
        <f t="shared" si="48"/>
        <v>0</v>
      </c>
      <c r="E107" s="57">
        <f t="shared" si="48"/>
        <v>0</v>
      </c>
      <c r="F107" s="57">
        <f t="shared" si="48"/>
        <v>0</v>
      </c>
      <c r="G107" s="57">
        <f t="shared" si="48"/>
        <v>0</v>
      </c>
      <c r="H107" s="57">
        <f t="shared" si="48"/>
        <v>0</v>
      </c>
    </row>
    <row r="108" spans="1:9" x14ac:dyDescent="0.25">
      <c r="A108" s="18">
        <f t="shared" si="46"/>
        <v>0</v>
      </c>
      <c r="B108" s="18">
        <f t="shared" si="47"/>
        <v>0</v>
      </c>
      <c r="C108" s="57">
        <f t="shared" si="48"/>
        <v>0</v>
      </c>
      <c r="D108" s="57">
        <f t="shared" si="48"/>
        <v>0</v>
      </c>
      <c r="E108" s="57">
        <f t="shared" si="48"/>
        <v>0</v>
      </c>
      <c r="F108" s="57">
        <f t="shared" si="48"/>
        <v>0</v>
      </c>
      <c r="G108" s="57">
        <f t="shared" si="48"/>
        <v>0</v>
      </c>
      <c r="H108" s="57">
        <f t="shared" si="48"/>
        <v>0</v>
      </c>
    </row>
    <row r="109" spans="1:9" x14ac:dyDescent="0.25">
      <c r="A109" s="18">
        <f t="shared" si="46"/>
        <v>0</v>
      </c>
      <c r="B109" s="18">
        <f t="shared" si="47"/>
        <v>0</v>
      </c>
      <c r="C109" s="57">
        <f t="shared" si="48"/>
        <v>0</v>
      </c>
      <c r="D109" s="57">
        <f t="shared" si="48"/>
        <v>0</v>
      </c>
      <c r="E109" s="57">
        <f t="shared" si="48"/>
        <v>0</v>
      </c>
      <c r="F109" s="57">
        <f t="shared" si="48"/>
        <v>0</v>
      </c>
      <c r="G109" s="57">
        <f t="shared" si="48"/>
        <v>0</v>
      </c>
      <c r="H109" s="57">
        <f t="shared" si="48"/>
        <v>0</v>
      </c>
    </row>
    <row r="110" spans="1:9" x14ac:dyDescent="0.25">
      <c r="A110" s="18">
        <f t="shared" si="46"/>
        <v>0</v>
      </c>
      <c r="B110" s="18">
        <f t="shared" si="47"/>
        <v>0</v>
      </c>
      <c r="C110" s="57">
        <f t="shared" si="48"/>
        <v>0</v>
      </c>
      <c r="D110" s="57">
        <f t="shared" si="48"/>
        <v>0</v>
      </c>
      <c r="E110" s="57">
        <f t="shared" si="48"/>
        <v>0</v>
      </c>
      <c r="F110" s="57">
        <f t="shared" si="48"/>
        <v>0</v>
      </c>
      <c r="G110" s="57">
        <f t="shared" si="48"/>
        <v>0</v>
      </c>
      <c r="H110" s="57">
        <f t="shared" si="48"/>
        <v>0</v>
      </c>
    </row>
    <row r="111" spans="1:9" x14ac:dyDescent="0.25">
      <c r="A111" s="18" t="str">
        <f t="shared" si="46"/>
        <v>Onion</v>
      </c>
      <c r="B111" s="18">
        <f t="shared" ref="B111:B118" si="50">D24*$B$100</f>
        <v>0</v>
      </c>
      <c r="C111" s="57">
        <f t="shared" si="48"/>
        <v>0</v>
      </c>
      <c r="D111" s="57">
        <f t="shared" si="48"/>
        <v>0</v>
      </c>
      <c r="E111" s="57">
        <f t="shared" si="48"/>
        <v>0</v>
      </c>
      <c r="F111" s="57">
        <f t="shared" si="48"/>
        <v>0</v>
      </c>
      <c r="G111" s="57">
        <f t="shared" si="48"/>
        <v>0</v>
      </c>
      <c r="H111" s="57">
        <f t="shared" si="48"/>
        <v>0</v>
      </c>
    </row>
    <row r="112" spans="1:9" x14ac:dyDescent="0.25">
      <c r="A112" s="18" t="str">
        <f t="shared" si="46"/>
        <v>Tomato</v>
      </c>
      <c r="B112" s="18">
        <f t="shared" si="50"/>
        <v>0</v>
      </c>
      <c r="C112" s="57">
        <f t="shared" si="48"/>
        <v>0</v>
      </c>
      <c r="D112" s="57">
        <f t="shared" si="48"/>
        <v>0</v>
      </c>
      <c r="E112" s="57">
        <f t="shared" si="48"/>
        <v>0</v>
      </c>
      <c r="F112" s="57">
        <f t="shared" si="48"/>
        <v>0</v>
      </c>
      <c r="G112" s="57">
        <f t="shared" si="48"/>
        <v>0</v>
      </c>
      <c r="H112" s="57">
        <f t="shared" si="48"/>
        <v>0</v>
      </c>
    </row>
    <row r="113" spans="1:9" x14ac:dyDescent="0.25">
      <c r="A113" s="18" t="str">
        <f t="shared" si="46"/>
        <v>Okra</v>
      </c>
      <c r="B113" s="18">
        <f t="shared" si="50"/>
        <v>0</v>
      </c>
      <c r="C113" s="57">
        <f t="shared" si="48"/>
        <v>0</v>
      </c>
      <c r="D113" s="57">
        <f t="shared" si="48"/>
        <v>0</v>
      </c>
      <c r="E113" s="57">
        <f t="shared" si="48"/>
        <v>0</v>
      </c>
      <c r="F113" s="57">
        <f t="shared" si="48"/>
        <v>0</v>
      </c>
      <c r="G113" s="57">
        <f t="shared" si="48"/>
        <v>0</v>
      </c>
      <c r="H113" s="57">
        <f t="shared" si="48"/>
        <v>0</v>
      </c>
    </row>
    <row r="114" spans="1:9" x14ac:dyDescent="0.25">
      <c r="A114" s="18" t="str">
        <f t="shared" si="46"/>
        <v>Chilli</v>
      </c>
      <c r="B114" s="18">
        <f t="shared" si="50"/>
        <v>0</v>
      </c>
      <c r="C114" s="57">
        <f t="shared" si="48"/>
        <v>0</v>
      </c>
      <c r="D114" s="57">
        <f t="shared" si="48"/>
        <v>0</v>
      </c>
      <c r="E114" s="57">
        <f t="shared" si="48"/>
        <v>0</v>
      </c>
      <c r="F114" s="57">
        <f t="shared" si="48"/>
        <v>0</v>
      </c>
      <c r="G114" s="57">
        <f t="shared" si="48"/>
        <v>0</v>
      </c>
      <c r="H114" s="57">
        <f t="shared" si="48"/>
        <v>0</v>
      </c>
    </row>
    <row r="115" spans="1:9" x14ac:dyDescent="0.25">
      <c r="A115" s="18" t="str">
        <f t="shared" si="46"/>
        <v>Brinjal</v>
      </c>
      <c r="B115" s="18">
        <f t="shared" si="50"/>
        <v>0</v>
      </c>
      <c r="C115" s="57">
        <f t="shared" si="48"/>
        <v>0</v>
      </c>
      <c r="D115" s="57">
        <f t="shared" si="48"/>
        <v>0</v>
      </c>
      <c r="E115" s="57">
        <f t="shared" si="48"/>
        <v>0</v>
      </c>
      <c r="F115" s="57">
        <f t="shared" si="48"/>
        <v>0</v>
      </c>
      <c r="G115" s="57">
        <f t="shared" si="48"/>
        <v>0</v>
      </c>
      <c r="H115" s="57">
        <f t="shared" si="48"/>
        <v>0</v>
      </c>
    </row>
    <row r="116" spans="1:9" x14ac:dyDescent="0.25">
      <c r="A116" s="18">
        <f t="shared" si="46"/>
        <v>0</v>
      </c>
      <c r="B116" s="18">
        <f t="shared" si="50"/>
        <v>0</v>
      </c>
      <c r="C116" s="57">
        <f t="shared" si="48"/>
        <v>0</v>
      </c>
      <c r="D116" s="57">
        <f t="shared" si="48"/>
        <v>0</v>
      </c>
      <c r="E116" s="57">
        <f t="shared" si="48"/>
        <v>0</v>
      </c>
      <c r="F116" s="57">
        <f t="shared" si="48"/>
        <v>0</v>
      </c>
      <c r="G116" s="57">
        <f t="shared" si="48"/>
        <v>0</v>
      </c>
      <c r="H116" s="57">
        <f t="shared" si="48"/>
        <v>0</v>
      </c>
    </row>
    <row r="117" spans="1:9" x14ac:dyDescent="0.25">
      <c r="A117" s="18">
        <f t="shared" si="46"/>
        <v>0</v>
      </c>
      <c r="B117" s="18">
        <f t="shared" si="50"/>
        <v>0</v>
      </c>
      <c r="C117" s="57">
        <f t="shared" si="48"/>
        <v>0</v>
      </c>
      <c r="D117" s="57">
        <f t="shared" si="48"/>
        <v>0</v>
      </c>
      <c r="E117" s="57">
        <f t="shared" si="48"/>
        <v>0</v>
      </c>
      <c r="F117" s="57">
        <f t="shared" si="48"/>
        <v>0</v>
      </c>
      <c r="G117" s="57">
        <f t="shared" si="48"/>
        <v>0</v>
      </c>
      <c r="H117" s="57">
        <f t="shared" si="48"/>
        <v>0</v>
      </c>
    </row>
    <row r="118" spans="1:9" x14ac:dyDescent="0.25">
      <c r="A118" s="18">
        <f t="shared" si="46"/>
        <v>0</v>
      </c>
      <c r="B118" s="18">
        <f t="shared" si="50"/>
        <v>0</v>
      </c>
      <c r="C118" s="57">
        <f t="shared" ref="C118:H126" si="51">(B118/B$100)*C$100</f>
        <v>0</v>
      </c>
      <c r="D118" s="57">
        <f t="shared" si="51"/>
        <v>0</v>
      </c>
      <c r="E118" s="57">
        <f t="shared" si="51"/>
        <v>0</v>
      </c>
      <c r="F118" s="57">
        <f t="shared" si="51"/>
        <v>0</v>
      </c>
      <c r="G118" s="57">
        <f t="shared" si="51"/>
        <v>0</v>
      </c>
      <c r="H118" s="57">
        <f t="shared" si="51"/>
        <v>0</v>
      </c>
    </row>
    <row r="119" spans="1:9" x14ac:dyDescent="0.25">
      <c r="A119" s="18">
        <f t="shared" si="46"/>
        <v>0</v>
      </c>
      <c r="B119" s="18">
        <f t="shared" ref="B119:B126" si="52">D33*$B$100</f>
        <v>0</v>
      </c>
      <c r="C119" s="57">
        <f t="shared" si="51"/>
        <v>0</v>
      </c>
      <c r="D119" s="57">
        <f t="shared" si="51"/>
        <v>0</v>
      </c>
      <c r="E119" s="57">
        <f t="shared" si="51"/>
        <v>0</v>
      </c>
      <c r="F119" s="57">
        <f t="shared" si="51"/>
        <v>0</v>
      </c>
      <c r="G119" s="57">
        <f t="shared" si="51"/>
        <v>0</v>
      </c>
      <c r="H119" s="57">
        <f t="shared" si="51"/>
        <v>0</v>
      </c>
    </row>
    <row r="120" spans="1:9" x14ac:dyDescent="0.25">
      <c r="A120" s="18">
        <f t="shared" si="46"/>
        <v>0</v>
      </c>
      <c r="B120" s="18">
        <f t="shared" si="52"/>
        <v>0</v>
      </c>
      <c r="C120" s="57">
        <f t="shared" si="51"/>
        <v>0</v>
      </c>
      <c r="D120" s="57">
        <f t="shared" ref="D120:D122" si="53">(C120/C$100)*D$100</f>
        <v>0</v>
      </c>
      <c r="E120" s="57">
        <f t="shared" ref="E120:E122" si="54">(D120/D$100)*E$100</f>
        <v>0</v>
      </c>
      <c r="F120" s="57">
        <f t="shared" ref="F120:F122" si="55">(E120/E$100)*F$100</f>
        <v>0</v>
      </c>
      <c r="G120" s="57">
        <f t="shared" ref="G120:G122" si="56">(F120/F$100)*G$100</f>
        <v>0</v>
      </c>
      <c r="H120" s="57">
        <f t="shared" si="51"/>
        <v>0</v>
      </c>
    </row>
    <row r="121" spans="1:9" x14ac:dyDescent="0.25">
      <c r="A121" s="18">
        <f t="shared" si="46"/>
        <v>0</v>
      </c>
      <c r="B121" s="18">
        <f t="shared" si="52"/>
        <v>0</v>
      </c>
      <c r="C121" s="57">
        <f t="shared" si="51"/>
        <v>0</v>
      </c>
      <c r="D121" s="57">
        <f t="shared" si="53"/>
        <v>0</v>
      </c>
      <c r="E121" s="57">
        <f t="shared" si="54"/>
        <v>0</v>
      </c>
      <c r="F121" s="57">
        <f t="shared" si="55"/>
        <v>0</v>
      </c>
      <c r="G121" s="57">
        <f t="shared" si="56"/>
        <v>0</v>
      </c>
      <c r="H121" s="57">
        <f t="shared" si="51"/>
        <v>0</v>
      </c>
    </row>
    <row r="122" spans="1:9" x14ac:dyDescent="0.25">
      <c r="A122" s="18">
        <f t="shared" si="46"/>
        <v>0</v>
      </c>
      <c r="B122" s="18">
        <f t="shared" si="52"/>
        <v>0</v>
      </c>
      <c r="C122" s="57">
        <f t="shared" si="51"/>
        <v>0</v>
      </c>
      <c r="D122" s="57">
        <f t="shared" si="53"/>
        <v>0</v>
      </c>
      <c r="E122" s="57">
        <f t="shared" si="54"/>
        <v>0</v>
      </c>
      <c r="F122" s="57">
        <f t="shared" si="55"/>
        <v>0</v>
      </c>
      <c r="G122" s="57">
        <f t="shared" si="56"/>
        <v>0</v>
      </c>
      <c r="H122" s="57">
        <f t="shared" si="51"/>
        <v>0</v>
      </c>
    </row>
    <row r="123" spans="1:9" x14ac:dyDescent="0.25">
      <c r="A123" s="18" t="str">
        <f t="shared" si="46"/>
        <v>Pomegranate</v>
      </c>
      <c r="B123" s="18">
        <f t="shared" si="52"/>
        <v>0</v>
      </c>
      <c r="C123" s="57">
        <f t="shared" si="51"/>
        <v>0</v>
      </c>
      <c r="D123" s="57">
        <f t="shared" si="51"/>
        <v>0</v>
      </c>
      <c r="E123" s="57">
        <f t="shared" si="51"/>
        <v>0</v>
      </c>
      <c r="F123" s="57">
        <f t="shared" si="51"/>
        <v>0</v>
      </c>
      <c r="G123" s="57">
        <f t="shared" si="51"/>
        <v>0</v>
      </c>
      <c r="H123" s="57">
        <f t="shared" si="51"/>
        <v>0</v>
      </c>
    </row>
    <row r="124" spans="1:9" x14ac:dyDescent="0.25">
      <c r="A124" s="18" t="str">
        <f t="shared" si="46"/>
        <v>Custard Apple</v>
      </c>
      <c r="B124" s="18">
        <f t="shared" si="52"/>
        <v>0</v>
      </c>
      <c r="C124" s="57">
        <f t="shared" si="51"/>
        <v>0</v>
      </c>
      <c r="D124" s="57">
        <f t="shared" ref="D124" si="57">(C124/C$100)*D$100</f>
        <v>0</v>
      </c>
      <c r="E124" s="57">
        <f t="shared" ref="E124" si="58">(D124/D$100)*E$100</f>
        <v>0</v>
      </c>
      <c r="F124" s="57">
        <f t="shared" ref="F124" si="59">(E124/E$100)*F$100</f>
        <v>0</v>
      </c>
      <c r="G124" s="57">
        <f t="shared" ref="G124" si="60">(F124/F$100)*G$100</f>
        <v>0</v>
      </c>
      <c r="H124" s="57">
        <f t="shared" si="51"/>
        <v>0</v>
      </c>
    </row>
    <row r="125" spans="1:9" x14ac:dyDescent="0.25">
      <c r="A125" s="18" t="str">
        <f t="shared" si="46"/>
        <v>Guava</v>
      </c>
      <c r="B125" s="18">
        <f t="shared" si="52"/>
        <v>0</v>
      </c>
      <c r="C125" s="57">
        <f t="shared" si="51"/>
        <v>0</v>
      </c>
      <c r="D125" s="57">
        <f t="shared" si="51"/>
        <v>0</v>
      </c>
      <c r="E125" s="57">
        <f t="shared" si="51"/>
        <v>0</v>
      </c>
      <c r="F125" s="57">
        <f t="shared" si="51"/>
        <v>0</v>
      </c>
      <c r="G125" s="57">
        <f t="shared" si="51"/>
        <v>0</v>
      </c>
      <c r="H125" s="57">
        <f t="shared" si="51"/>
        <v>0</v>
      </c>
    </row>
    <row r="126" spans="1:9" x14ac:dyDescent="0.25">
      <c r="A126" s="18" t="str">
        <f t="shared" si="46"/>
        <v>Citrus</v>
      </c>
      <c r="B126" s="18">
        <f t="shared" si="52"/>
        <v>0</v>
      </c>
      <c r="C126" s="57">
        <f t="shared" si="51"/>
        <v>0</v>
      </c>
      <c r="D126" s="57">
        <f t="shared" si="51"/>
        <v>0</v>
      </c>
      <c r="E126" s="57">
        <f t="shared" si="51"/>
        <v>0</v>
      </c>
      <c r="F126" s="57">
        <f t="shared" si="51"/>
        <v>0</v>
      </c>
      <c r="G126" s="57">
        <f t="shared" si="51"/>
        <v>0</v>
      </c>
      <c r="H126" s="57">
        <f t="shared" si="51"/>
        <v>0</v>
      </c>
    </row>
    <row r="128" spans="1:9" x14ac:dyDescent="0.25">
      <c r="C128" s="21"/>
      <c r="D128" s="23"/>
      <c r="E128" s="23"/>
      <c r="F128" s="23"/>
      <c r="G128" s="23"/>
      <c r="H128" s="23"/>
      <c r="I128" s="23"/>
    </row>
    <row r="129" spans="1:9" x14ac:dyDescent="0.25">
      <c r="A129" t="s">
        <v>539</v>
      </c>
      <c r="C129" s="61"/>
      <c r="D129" s="61"/>
      <c r="E129" s="61"/>
      <c r="F129" s="61"/>
      <c r="G129" s="61"/>
      <c r="H129" s="61"/>
      <c r="I129" s="61"/>
    </row>
    <row r="130" spans="1:9" x14ac:dyDescent="0.25">
      <c r="A130">
        <v>1</v>
      </c>
      <c r="B130" t="s">
        <v>540</v>
      </c>
    </row>
    <row r="131" spans="1:9" x14ac:dyDescent="0.25">
      <c r="A131">
        <v>2</v>
      </c>
      <c r="B131" t="s">
        <v>541</v>
      </c>
    </row>
    <row r="132" spans="1:9" x14ac:dyDescent="0.25">
      <c r="A132">
        <v>3</v>
      </c>
      <c r="B132" t="s">
        <v>542</v>
      </c>
    </row>
  </sheetData>
  <mergeCells count="13">
    <mergeCell ref="A99:H99"/>
    <mergeCell ref="A100:A101"/>
    <mergeCell ref="A71:H71"/>
    <mergeCell ref="A43:H43"/>
    <mergeCell ref="A41:H41"/>
    <mergeCell ref="A44:A45"/>
    <mergeCell ref="A37:A40"/>
    <mergeCell ref="A72:A73"/>
    <mergeCell ref="A1:H1"/>
    <mergeCell ref="A24:A31"/>
    <mergeCell ref="A11:H11"/>
    <mergeCell ref="A3:B3"/>
    <mergeCell ref="A14:A22"/>
  </mergeCells>
  <pageMargins left="0.7" right="0.7" top="0.75" bottom="0.75" header="0.3" footer="0.3"/>
  <pageSetup paperSize="9" scale="49" orientation="portrait" r:id="rId1"/>
  <rowBreaks count="1" manualBreakCount="1">
    <brk id="9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5" zoomScaleNormal="80" zoomScaleSheetLayoutView="85" workbookViewId="0">
      <selection activeCell="B10" sqref="B10:H10"/>
    </sheetView>
  </sheetViews>
  <sheetFormatPr defaultColWidth="10" defaultRowHeight="15" x14ac:dyDescent="0.25"/>
  <cols>
    <col min="1" max="1" width="42.42578125" style="104" customWidth="1"/>
    <col min="2" max="2" width="23.42578125" style="104" customWidth="1"/>
    <col min="3" max="3" width="11.7109375" style="104" customWidth="1"/>
    <col min="4" max="5" width="17.7109375" style="104" bestFit="1" customWidth="1"/>
    <col min="6" max="6" width="18.28515625" style="104" customWidth="1"/>
    <col min="7" max="9" width="17.7109375" style="104" bestFit="1" customWidth="1"/>
    <col min="10" max="10" width="15.7109375" style="104" customWidth="1"/>
    <col min="11" max="11" width="10.5703125" style="104" customWidth="1"/>
    <col min="12" max="12" width="10" style="104"/>
    <col min="13" max="13" width="22.7109375" style="104" customWidth="1"/>
    <col min="14" max="14" width="12.7109375" style="104" customWidth="1"/>
    <col min="15" max="16384" width="10" style="104"/>
  </cols>
  <sheetData>
    <row r="2" spans="1:9" ht="18.75" x14ac:dyDescent="0.3">
      <c r="A2" s="479" t="s">
        <v>576</v>
      </c>
      <c r="B2" s="479"/>
      <c r="C2" s="479"/>
      <c r="D2" s="479"/>
      <c r="E2" s="479"/>
      <c r="F2" s="479"/>
      <c r="G2" s="479"/>
      <c r="H2" s="479"/>
    </row>
    <row r="3" spans="1:9" ht="18.75" x14ac:dyDescent="0.3">
      <c r="A3" s="479" t="s">
        <v>577</v>
      </c>
      <c r="B3" s="479"/>
      <c r="C3" s="479"/>
      <c r="D3" s="479"/>
      <c r="E3" s="479"/>
      <c r="F3" s="479"/>
      <c r="G3" s="479"/>
      <c r="H3" s="479"/>
    </row>
    <row r="4" spans="1:9" x14ac:dyDescent="0.25">
      <c r="B4" s="150"/>
      <c r="C4" s="150"/>
      <c r="D4" s="150"/>
      <c r="E4" s="150"/>
      <c r="F4" s="483" t="s">
        <v>465</v>
      </c>
      <c r="G4" s="483"/>
      <c r="H4" s="483"/>
    </row>
    <row r="5" spans="1:9" x14ac:dyDescent="0.25">
      <c r="A5" s="150" t="s">
        <v>160</v>
      </c>
      <c r="B5" s="151">
        <v>27</v>
      </c>
      <c r="C5" s="150" t="s">
        <v>441</v>
      </c>
      <c r="D5" s="150" t="s">
        <v>766</v>
      </c>
      <c r="E5" s="150"/>
      <c r="F5" s="106" t="s">
        <v>466</v>
      </c>
      <c r="G5" s="106" t="s">
        <v>467</v>
      </c>
      <c r="H5" s="150"/>
    </row>
    <row r="6" spans="1:9" x14ac:dyDescent="0.25">
      <c r="A6" s="150" t="s">
        <v>161</v>
      </c>
      <c r="B6" s="152">
        <v>8</v>
      </c>
      <c r="C6" s="150"/>
      <c r="D6" s="150" t="s">
        <v>767</v>
      </c>
      <c r="E6" s="150"/>
      <c r="F6" s="109" t="s">
        <v>463</v>
      </c>
      <c r="G6" s="174">
        <v>0.03</v>
      </c>
      <c r="H6" s="150"/>
    </row>
    <row r="7" spans="1:9" x14ac:dyDescent="0.25">
      <c r="A7" s="150"/>
      <c r="B7" s="150"/>
      <c r="C7" s="150"/>
      <c r="D7" s="150"/>
      <c r="E7" s="150"/>
      <c r="F7" s="109" t="s">
        <v>464</v>
      </c>
      <c r="G7" s="174">
        <v>0.05</v>
      </c>
      <c r="H7" s="150"/>
      <c r="I7" s="104">
        <f>30*0.9</f>
        <v>27</v>
      </c>
    </row>
    <row r="8" spans="1:9" x14ac:dyDescent="0.25">
      <c r="A8" s="150" t="s">
        <v>512</v>
      </c>
      <c r="B8" s="150">
        <v>300</v>
      </c>
      <c r="C8" s="150"/>
      <c r="D8" s="150"/>
      <c r="E8" s="150"/>
      <c r="F8" s="109"/>
      <c r="G8" s="174"/>
      <c r="H8" s="150"/>
    </row>
    <row r="9" spans="1:9" x14ac:dyDescent="0.25">
      <c r="A9" s="165" t="s">
        <v>0</v>
      </c>
      <c r="B9" s="166" t="s">
        <v>2</v>
      </c>
      <c r="C9" s="166" t="s">
        <v>3</v>
      </c>
      <c r="D9" s="166" t="s">
        <v>4</v>
      </c>
      <c r="E9" s="166" t="s">
        <v>5</v>
      </c>
      <c r="F9" s="166" t="s">
        <v>6</v>
      </c>
      <c r="G9" s="166" t="s">
        <v>168</v>
      </c>
      <c r="H9" s="166" t="s">
        <v>167</v>
      </c>
    </row>
    <row r="10" spans="1:9" x14ac:dyDescent="0.25">
      <c r="A10" s="109" t="s">
        <v>440</v>
      </c>
      <c r="B10" s="175">
        <f>ROUND(B33/($B$5*$B$6),0)</f>
        <v>99</v>
      </c>
      <c r="C10" s="175">
        <f>ROUND(C33/($B$5*$B$6),0)</f>
        <v>109</v>
      </c>
      <c r="D10" s="175">
        <f t="shared" ref="D10:H10" si="0">ROUND(D33/($B$5*$B$6),0)</f>
        <v>116</v>
      </c>
      <c r="E10" s="175">
        <f t="shared" si="0"/>
        <v>122</v>
      </c>
      <c r="F10" s="175">
        <f t="shared" si="0"/>
        <v>129</v>
      </c>
      <c r="G10" s="175">
        <f t="shared" si="0"/>
        <v>135</v>
      </c>
      <c r="H10" s="175">
        <f t="shared" si="0"/>
        <v>142</v>
      </c>
    </row>
    <row r="11" spans="1:9" x14ac:dyDescent="0.25">
      <c r="A11" s="176" t="str">
        <f>'10.Grain Production details'!A42</f>
        <v>Soybean</v>
      </c>
      <c r="B11" s="176">
        <f>'10.Grain Production details'!B42</f>
        <v>7761.5999999999995</v>
      </c>
      <c r="C11" s="176">
        <f>'10.Grain Production details'!C42</f>
        <v>8537.7599999999984</v>
      </c>
      <c r="D11" s="176">
        <f>'10.Grain Production details'!D42</f>
        <v>9055.1999999999989</v>
      </c>
      <c r="E11" s="176">
        <f>'10.Grain Production details'!E42</f>
        <v>9572.64</v>
      </c>
      <c r="F11" s="176">
        <f>'10.Grain Production details'!F42</f>
        <v>10090.08</v>
      </c>
      <c r="G11" s="176">
        <f>'10.Grain Production details'!G42</f>
        <v>10607.52</v>
      </c>
      <c r="H11" s="176">
        <f>'10.Grain Production details'!H42</f>
        <v>11124.960000000001</v>
      </c>
    </row>
    <row r="12" spans="1:9" x14ac:dyDescent="0.25">
      <c r="A12" s="176" t="str">
        <f>'10.Grain Production details'!A43</f>
        <v>Red Gram/Tur</v>
      </c>
      <c r="B12" s="176">
        <f>'10.Grain Production details'!B43</f>
        <v>6156.4040999999988</v>
      </c>
      <c r="C12" s="176">
        <f>'10.Grain Production details'!C43</f>
        <v>6772.0445099999988</v>
      </c>
      <c r="D12" s="176">
        <f>'10.Grain Production details'!D43</f>
        <v>7182.4714499999991</v>
      </c>
      <c r="E12" s="176">
        <f>'10.Grain Production details'!E43</f>
        <v>7592.8983899999994</v>
      </c>
      <c r="F12" s="176">
        <f>'10.Grain Production details'!F43</f>
        <v>8003.3253299999997</v>
      </c>
      <c r="G12" s="176">
        <f>'10.Grain Production details'!G43</f>
        <v>8413.752269999999</v>
      </c>
      <c r="H12" s="176">
        <f>'10.Grain Production details'!H43</f>
        <v>8824.1792099999984</v>
      </c>
    </row>
    <row r="13" spans="1:9" x14ac:dyDescent="0.25">
      <c r="A13" s="176" t="str">
        <f>'10.Grain Production details'!A44</f>
        <v>Paddy/Rice</v>
      </c>
      <c r="B13" s="176">
        <f>'10.Grain Production details'!B44</f>
        <v>0</v>
      </c>
      <c r="C13" s="176">
        <f>'10.Grain Production details'!C44</f>
        <v>0</v>
      </c>
      <c r="D13" s="176">
        <f>'10.Grain Production details'!D44</f>
        <v>0</v>
      </c>
      <c r="E13" s="176">
        <f>'10.Grain Production details'!E44</f>
        <v>0</v>
      </c>
      <c r="F13" s="176">
        <f>'10.Grain Production details'!F44</f>
        <v>0</v>
      </c>
      <c r="G13" s="176">
        <f>'10.Grain Production details'!G44</f>
        <v>0</v>
      </c>
      <c r="H13" s="176">
        <f>'10.Grain Production details'!H44</f>
        <v>0</v>
      </c>
    </row>
    <row r="14" spans="1:9" x14ac:dyDescent="0.25">
      <c r="A14" s="176" t="str">
        <f>'10.Grain Production details'!A45</f>
        <v>Green Gram/ Moong</v>
      </c>
      <c r="B14" s="176">
        <f>'10.Grain Production details'!B45</f>
        <v>1663.893</v>
      </c>
      <c r="C14" s="176">
        <f>'10.Grain Production details'!C45</f>
        <v>1830.2822999999999</v>
      </c>
      <c r="D14" s="176">
        <f>'10.Grain Production details'!D45</f>
        <v>1941.2085</v>
      </c>
      <c r="E14" s="176">
        <f>'10.Grain Production details'!E45</f>
        <v>2052.1347000000001</v>
      </c>
      <c r="F14" s="176">
        <f>'10.Grain Production details'!F45</f>
        <v>2163.0609000000004</v>
      </c>
      <c r="G14" s="176">
        <f>'10.Grain Production details'!G45</f>
        <v>2273.9871000000003</v>
      </c>
      <c r="H14" s="176">
        <f>'10.Grain Production details'!H45</f>
        <v>2384.9133000000006</v>
      </c>
    </row>
    <row r="15" spans="1:9" hidden="1" x14ac:dyDescent="0.25">
      <c r="A15" s="176" t="str">
        <f>'10.Grain Production details'!A46</f>
        <v>Maize</v>
      </c>
      <c r="B15" s="176">
        <f>'10.Grain Production details'!B46</f>
        <v>0</v>
      </c>
      <c r="C15" s="176">
        <f>'10.Grain Production details'!C46</f>
        <v>0</v>
      </c>
      <c r="D15" s="176">
        <f>'10.Grain Production details'!D46</f>
        <v>0</v>
      </c>
      <c r="E15" s="176">
        <f>'10.Grain Production details'!E46</f>
        <v>0</v>
      </c>
      <c r="F15" s="176">
        <f>'10.Grain Production details'!F46</f>
        <v>0</v>
      </c>
      <c r="G15" s="176">
        <f>'10.Grain Production details'!G46</f>
        <v>0</v>
      </c>
      <c r="H15" s="176">
        <f>'10.Grain Production details'!H46</f>
        <v>0</v>
      </c>
    </row>
    <row r="16" spans="1:9" hidden="1" x14ac:dyDescent="0.25">
      <c r="A16" s="176" t="str">
        <f>'10.Grain Production details'!A47</f>
        <v>Black Gram/Udid</v>
      </c>
      <c r="B16" s="176">
        <f>'10.Grain Production details'!B47</f>
        <v>0</v>
      </c>
      <c r="C16" s="176">
        <f>'10.Grain Production details'!C47</f>
        <v>0</v>
      </c>
      <c r="D16" s="176">
        <f>'10.Grain Production details'!D47</f>
        <v>0</v>
      </c>
      <c r="E16" s="176">
        <f>'10.Grain Production details'!E47</f>
        <v>0</v>
      </c>
      <c r="F16" s="176">
        <f>'10.Grain Production details'!F47</f>
        <v>0</v>
      </c>
      <c r="G16" s="176">
        <f>'10.Grain Production details'!G47</f>
        <v>0</v>
      </c>
      <c r="H16" s="176">
        <f>'10.Grain Production details'!H47</f>
        <v>0</v>
      </c>
    </row>
    <row r="17" spans="1:8" hidden="1" x14ac:dyDescent="0.25">
      <c r="A17" s="176" t="str">
        <f>'10.Grain Production details'!A48</f>
        <v>Bajra</v>
      </c>
      <c r="B17" s="176">
        <f>'10.Grain Production details'!B48</f>
        <v>0</v>
      </c>
      <c r="C17" s="176">
        <f>'10.Grain Production details'!C48</f>
        <v>0</v>
      </c>
      <c r="D17" s="176">
        <f>'10.Grain Production details'!D48</f>
        <v>0</v>
      </c>
      <c r="E17" s="176">
        <f>'10.Grain Production details'!E48</f>
        <v>0</v>
      </c>
      <c r="F17" s="176">
        <f>'10.Grain Production details'!F48</f>
        <v>0</v>
      </c>
      <c r="G17" s="176">
        <f>'10.Grain Production details'!G48</f>
        <v>0</v>
      </c>
      <c r="H17" s="176">
        <f>'10.Grain Production details'!H48</f>
        <v>0</v>
      </c>
    </row>
    <row r="18" spans="1:8" hidden="1" x14ac:dyDescent="0.25">
      <c r="A18" s="176" t="str">
        <f>'10.Grain Production details'!A49</f>
        <v>Jawar</v>
      </c>
      <c r="B18" s="176">
        <f>'10.Grain Production details'!B49</f>
        <v>0</v>
      </c>
      <c r="C18" s="176">
        <f>'10.Grain Production details'!C49</f>
        <v>0</v>
      </c>
      <c r="D18" s="176">
        <f>'10.Grain Production details'!D49</f>
        <v>0</v>
      </c>
      <c r="E18" s="176">
        <f>'10.Grain Production details'!E49</f>
        <v>0</v>
      </c>
      <c r="F18" s="176">
        <f>'10.Grain Production details'!F49</f>
        <v>0</v>
      </c>
      <c r="G18" s="176">
        <f>'10.Grain Production details'!G49</f>
        <v>0</v>
      </c>
      <c r="H18" s="176">
        <f>'10.Grain Production details'!H49</f>
        <v>0</v>
      </c>
    </row>
    <row r="19" spans="1:8" hidden="1" x14ac:dyDescent="0.25">
      <c r="A19" s="176" t="str">
        <f>'10.Grain Production details'!A50</f>
        <v>Sunflower</v>
      </c>
      <c r="B19" s="176">
        <f>'10.Grain Production details'!B50</f>
        <v>0</v>
      </c>
      <c r="C19" s="176">
        <f>'10.Grain Production details'!C50</f>
        <v>0</v>
      </c>
      <c r="D19" s="176">
        <f>'10.Grain Production details'!D50</f>
        <v>0</v>
      </c>
      <c r="E19" s="176">
        <f>'10.Grain Production details'!E50</f>
        <v>0</v>
      </c>
      <c r="F19" s="176">
        <f>'10.Grain Production details'!F50</f>
        <v>0</v>
      </c>
      <c r="G19" s="176">
        <f>'10.Grain Production details'!G50</f>
        <v>0</v>
      </c>
      <c r="H19" s="176">
        <f>'10.Grain Production details'!H50</f>
        <v>0</v>
      </c>
    </row>
    <row r="20" spans="1:8" hidden="1" x14ac:dyDescent="0.25">
      <c r="A20" s="176" t="str">
        <f>'10.Grain Production details'!A51</f>
        <v>Wheat</v>
      </c>
      <c r="B20" s="176">
        <f>'10.Grain Production details'!B51</f>
        <v>0</v>
      </c>
      <c r="C20" s="176">
        <f>'10.Grain Production details'!C51</f>
        <v>0</v>
      </c>
      <c r="D20" s="176">
        <f>'10.Grain Production details'!D51</f>
        <v>0</v>
      </c>
      <c r="E20" s="176">
        <f>'10.Grain Production details'!E51</f>
        <v>0</v>
      </c>
      <c r="F20" s="176">
        <f>'10.Grain Production details'!F51</f>
        <v>0</v>
      </c>
      <c r="G20" s="176">
        <f>'10.Grain Production details'!G51</f>
        <v>0</v>
      </c>
      <c r="H20" s="176">
        <f>'10.Grain Production details'!H51</f>
        <v>0</v>
      </c>
    </row>
    <row r="21" spans="1:8" x14ac:dyDescent="0.25">
      <c r="A21" s="176" t="str">
        <f>'10.Grain Production details'!A52</f>
        <v>Bengal Gram/Channa</v>
      </c>
      <c r="B21" s="176">
        <f>'10.Grain Production details'!B52</f>
        <v>5806.6469999999999</v>
      </c>
      <c r="C21" s="176">
        <f>'10.Grain Production details'!C52</f>
        <v>6387.3117000000002</v>
      </c>
      <c r="D21" s="176">
        <f>'10.Grain Production details'!D52</f>
        <v>6774.4215000000004</v>
      </c>
      <c r="E21" s="176">
        <f>'10.Grain Production details'!E52</f>
        <v>7161.5313000000006</v>
      </c>
      <c r="F21" s="176">
        <f>'10.Grain Production details'!F52</f>
        <v>7548.6411000000007</v>
      </c>
      <c r="G21" s="176">
        <f>'10.Grain Production details'!G52</f>
        <v>7935.7509000000009</v>
      </c>
      <c r="H21" s="176">
        <f>'10.Grain Production details'!H52</f>
        <v>8322.8607000000011</v>
      </c>
    </row>
    <row r="22" spans="1:8" hidden="1" x14ac:dyDescent="0.25">
      <c r="A22" s="176" t="str">
        <f>'10.Grain Production details'!A53</f>
        <v>Jawar</v>
      </c>
      <c r="B22" s="176">
        <f>'10.Grain Production details'!B53</f>
        <v>0</v>
      </c>
      <c r="C22" s="176">
        <f>'10.Grain Production details'!C53</f>
        <v>0</v>
      </c>
      <c r="D22" s="176">
        <f>'10.Grain Production details'!D53</f>
        <v>0</v>
      </c>
      <c r="E22" s="176">
        <f>'10.Grain Production details'!E53</f>
        <v>0</v>
      </c>
      <c r="F22" s="176">
        <f>'10.Grain Production details'!F53</f>
        <v>0</v>
      </c>
      <c r="G22" s="176">
        <f>'10.Grain Production details'!G53</f>
        <v>0</v>
      </c>
      <c r="H22" s="176">
        <f>'10.Grain Production details'!H53</f>
        <v>0</v>
      </c>
    </row>
    <row r="23" spans="1:8" hidden="1" x14ac:dyDescent="0.25">
      <c r="A23" s="176" t="str">
        <f>'10.Grain Production details'!A54</f>
        <v>Maize</v>
      </c>
      <c r="B23" s="176">
        <f>'10.Grain Production details'!B54</f>
        <v>0</v>
      </c>
      <c r="C23" s="176">
        <f>'10.Grain Production details'!C54</f>
        <v>0</v>
      </c>
      <c r="D23" s="176">
        <f>'10.Grain Production details'!D54</f>
        <v>0</v>
      </c>
      <c r="E23" s="176">
        <f>'10.Grain Production details'!E54</f>
        <v>0</v>
      </c>
      <c r="F23" s="176">
        <f>'10.Grain Production details'!F54</f>
        <v>0</v>
      </c>
      <c r="G23" s="176">
        <f>'10.Grain Production details'!G54</f>
        <v>0</v>
      </c>
      <c r="H23" s="176">
        <f>'10.Grain Production details'!H54</f>
        <v>0</v>
      </c>
    </row>
    <row r="24" spans="1:8" hidden="1" x14ac:dyDescent="0.25">
      <c r="A24" s="176" t="str">
        <f>'10.Grain Production details'!A55</f>
        <v>Safflower</v>
      </c>
      <c r="B24" s="176">
        <f>'10.Grain Production details'!B55</f>
        <v>0</v>
      </c>
      <c r="C24" s="176">
        <f>'10.Grain Production details'!C55</f>
        <v>0</v>
      </c>
      <c r="D24" s="176">
        <f>'10.Grain Production details'!D55</f>
        <v>0</v>
      </c>
      <c r="E24" s="176">
        <f>'10.Grain Production details'!E55</f>
        <v>0</v>
      </c>
      <c r="F24" s="176">
        <f>'10.Grain Production details'!F55</f>
        <v>0</v>
      </c>
      <c r="G24" s="176">
        <f>'10.Grain Production details'!G55</f>
        <v>0</v>
      </c>
      <c r="H24" s="176">
        <f>'10.Grain Production details'!H55</f>
        <v>0</v>
      </c>
    </row>
    <row r="25" spans="1:8" hidden="1" x14ac:dyDescent="0.25">
      <c r="A25" s="176">
        <f>'10.Grain Production details'!A56</f>
        <v>0</v>
      </c>
      <c r="B25" s="176">
        <f>'10.Grain Production details'!B56</f>
        <v>0</v>
      </c>
      <c r="C25" s="176">
        <f>'10.Grain Production details'!C56</f>
        <v>0</v>
      </c>
      <c r="D25" s="176">
        <f>'10.Grain Production details'!D56</f>
        <v>0</v>
      </c>
      <c r="E25" s="176">
        <f>'10.Grain Production details'!E56</f>
        <v>0</v>
      </c>
      <c r="F25" s="176">
        <f>'10.Grain Production details'!F56</f>
        <v>0</v>
      </c>
      <c r="G25" s="176">
        <f>'10.Grain Production details'!G56</f>
        <v>0</v>
      </c>
      <c r="H25" s="176">
        <f>'10.Grain Production details'!H56</f>
        <v>0</v>
      </c>
    </row>
    <row r="26" spans="1:8" hidden="1" x14ac:dyDescent="0.25">
      <c r="A26" s="176">
        <f>'10.Grain Production details'!A57</f>
        <v>0</v>
      </c>
      <c r="B26" s="176">
        <f>'10.Grain Production details'!B57</f>
        <v>0</v>
      </c>
      <c r="C26" s="176">
        <f>'10.Grain Production details'!C57</f>
        <v>0</v>
      </c>
      <c r="D26" s="176">
        <f>'10.Grain Production details'!D57</f>
        <v>0</v>
      </c>
      <c r="E26" s="176">
        <f>'10.Grain Production details'!E57</f>
        <v>0</v>
      </c>
      <c r="F26" s="176">
        <f>'10.Grain Production details'!F57</f>
        <v>0</v>
      </c>
      <c r="G26" s="176">
        <f>'10.Grain Production details'!G57</f>
        <v>0</v>
      </c>
      <c r="H26" s="176">
        <f>'10.Grain Production details'!H57</f>
        <v>0</v>
      </c>
    </row>
    <row r="27" spans="1:8" hidden="1" x14ac:dyDescent="0.25">
      <c r="A27" s="176">
        <f>'10.Grain Production details'!A58</f>
        <v>0</v>
      </c>
      <c r="B27" s="176">
        <f>'10.Grain Production details'!B58</f>
        <v>0</v>
      </c>
      <c r="C27" s="176">
        <f>'10.Grain Production details'!C58</f>
        <v>0</v>
      </c>
      <c r="D27" s="176">
        <f>'10.Grain Production details'!D58</f>
        <v>0</v>
      </c>
      <c r="E27" s="176">
        <f>'10.Grain Production details'!E58</f>
        <v>0</v>
      </c>
      <c r="F27" s="176">
        <f>'10.Grain Production details'!F58</f>
        <v>0</v>
      </c>
      <c r="G27" s="176">
        <f>'10.Grain Production details'!G58</f>
        <v>0</v>
      </c>
      <c r="H27" s="176">
        <f>'10.Grain Production details'!H58</f>
        <v>0</v>
      </c>
    </row>
    <row r="28" spans="1:8" hidden="1" x14ac:dyDescent="0.25">
      <c r="A28" s="176" t="str">
        <f>'10.Grain Production details'!A59</f>
        <v>Groundnut</v>
      </c>
      <c r="B28" s="176">
        <f>'10.Grain Production details'!B59</f>
        <v>0</v>
      </c>
      <c r="C28" s="176">
        <f>'10.Grain Production details'!C59</f>
        <v>0</v>
      </c>
      <c r="D28" s="176">
        <f>'10.Grain Production details'!D59</f>
        <v>0</v>
      </c>
      <c r="E28" s="176">
        <f>'10.Grain Production details'!E59</f>
        <v>0</v>
      </c>
      <c r="F28" s="176">
        <f>'10.Grain Production details'!F59</f>
        <v>0</v>
      </c>
      <c r="G28" s="176">
        <f>'10.Grain Production details'!G59</f>
        <v>0</v>
      </c>
      <c r="H28" s="176">
        <f>'10.Grain Production details'!H59</f>
        <v>0</v>
      </c>
    </row>
    <row r="29" spans="1:8" hidden="1" x14ac:dyDescent="0.25">
      <c r="A29" s="176">
        <f>'10.Grain Production details'!A60</f>
        <v>0</v>
      </c>
      <c r="B29" s="176">
        <f>'10.Grain Production details'!B60</f>
        <v>0</v>
      </c>
      <c r="C29" s="176">
        <f>'10.Grain Production details'!C60</f>
        <v>0</v>
      </c>
      <c r="D29" s="176">
        <f>'10.Grain Production details'!D60</f>
        <v>0</v>
      </c>
      <c r="E29" s="176">
        <f>'10.Grain Production details'!E60</f>
        <v>0</v>
      </c>
      <c r="F29" s="176">
        <f>'10.Grain Production details'!F60</f>
        <v>0</v>
      </c>
      <c r="G29" s="176">
        <f>'10.Grain Production details'!G60</f>
        <v>0</v>
      </c>
      <c r="H29" s="176">
        <f>'10.Grain Production details'!H60</f>
        <v>0</v>
      </c>
    </row>
    <row r="30" spans="1:8" hidden="1" x14ac:dyDescent="0.25">
      <c r="A30" s="176">
        <f>'10.Grain Production details'!A61</f>
        <v>0</v>
      </c>
      <c r="B30" s="176">
        <f>'10.Grain Production details'!B61</f>
        <v>0</v>
      </c>
      <c r="C30" s="176">
        <f>'10.Grain Production details'!C61</f>
        <v>0</v>
      </c>
      <c r="D30" s="176">
        <f>'10.Grain Production details'!D61</f>
        <v>0</v>
      </c>
      <c r="E30" s="176">
        <f>'10.Grain Production details'!E61</f>
        <v>0</v>
      </c>
      <c r="F30" s="176">
        <f>'10.Grain Production details'!F61</f>
        <v>0</v>
      </c>
      <c r="G30" s="176">
        <f>'10.Grain Production details'!G61</f>
        <v>0</v>
      </c>
      <c r="H30" s="176">
        <f>'10.Grain Production details'!H61</f>
        <v>0</v>
      </c>
    </row>
    <row r="31" spans="1:8" hidden="1" x14ac:dyDescent="0.25">
      <c r="A31" s="176">
        <f>'10.Grain Production details'!A62</f>
        <v>0</v>
      </c>
      <c r="B31" s="176">
        <f>'10.Grain Production details'!B62</f>
        <v>0</v>
      </c>
      <c r="C31" s="176">
        <f>'10.Grain Production details'!C62</f>
        <v>0</v>
      </c>
      <c r="D31" s="176">
        <f>'10.Grain Production details'!D62</f>
        <v>0</v>
      </c>
      <c r="E31" s="176">
        <f>'10.Grain Production details'!E62</f>
        <v>0</v>
      </c>
      <c r="F31" s="176">
        <f>'10.Grain Production details'!F62</f>
        <v>0</v>
      </c>
      <c r="G31" s="176">
        <f>'10.Grain Production details'!G62</f>
        <v>0</v>
      </c>
      <c r="H31" s="176">
        <f>'10.Grain Production details'!H62</f>
        <v>0</v>
      </c>
    </row>
    <row r="32" spans="1:8" hidden="1" x14ac:dyDescent="0.25">
      <c r="A32" s="176">
        <f>'10.Grain Production details'!B63</f>
        <v>0</v>
      </c>
      <c r="B32" s="176">
        <f>'10.Grain Production details'!C63</f>
        <v>0</v>
      </c>
      <c r="C32" s="176">
        <f>'10.Grain Production details'!D63</f>
        <v>0</v>
      </c>
      <c r="D32" s="176">
        <f>'10.Grain Production details'!E63</f>
        <v>0</v>
      </c>
      <c r="E32" s="176">
        <f>'10.Grain Production details'!F63</f>
        <v>0</v>
      </c>
      <c r="F32" s="176">
        <f>'10.Grain Production details'!G63</f>
        <v>0</v>
      </c>
      <c r="G32" s="176">
        <f>'10.Grain Production details'!H63</f>
        <v>0</v>
      </c>
      <c r="H32" s="176">
        <f>'10.Grain Production details'!I63</f>
        <v>0</v>
      </c>
    </row>
    <row r="33" spans="1:8" x14ac:dyDescent="0.25">
      <c r="A33" s="452" t="s">
        <v>509</v>
      </c>
      <c r="B33" s="453">
        <f t="shared" ref="B33:H33" si="1">SUM(B11:B32)</f>
        <v>21388.544099999999</v>
      </c>
      <c r="C33" s="453">
        <f t="shared" si="1"/>
        <v>23527.398509999999</v>
      </c>
      <c r="D33" s="453">
        <f t="shared" si="1"/>
        <v>24953.301449999999</v>
      </c>
      <c r="E33" s="453">
        <f t="shared" si="1"/>
        <v>26379.204389999999</v>
      </c>
      <c r="F33" s="453">
        <f t="shared" si="1"/>
        <v>27805.107330000003</v>
      </c>
      <c r="G33" s="453">
        <f t="shared" si="1"/>
        <v>29231.010269999999</v>
      </c>
      <c r="H33" s="453">
        <f t="shared" si="1"/>
        <v>30656.913210000002</v>
      </c>
    </row>
    <row r="34" spans="1:8" hidden="1" x14ac:dyDescent="0.25">
      <c r="A34" s="176" t="str">
        <f>'11.F&amp;V Crop Production details'!A1:H1</f>
        <v>Fruit  &amp; Vegetables Crop Production Details</v>
      </c>
      <c r="B34" s="176"/>
      <c r="C34" s="176"/>
      <c r="D34" s="176"/>
      <c r="E34" s="176"/>
      <c r="F34" s="176"/>
      <c r="G34" s="176"/>
      <c r="H34" s="176"/>
    </row>
    <row r="35" spans="1:8" hidden="1" x14ac:dyDescent="0.25">
      <c r="A35" s="176" t="str">
        <f>'11.F&amp;V Crop Production details'!A46</f>
        <v>Onion</v>
      </c>
      <c r="B35" s="176">
        <f>'11.F&amp;V Crop Production details'!B46</f>
        <v>0</v>
      </c>
      <c r="C35" s="176">
        <f>'11.F&amp;V Crop Production details'!C46</f>
        <v>0</v>
      </c>
      <c r="D35" s="176">
        <f>'11.F&amp;V Crop Production details'!D46</f>
        <v>0</v>
      </c>
      <c r="E35" s="176">
        <f>'11.F&amp;V Crop Production details'!E46</f>
        <v>0</v>
      </c>
      <c r="F35" s="176">
        <f>'11.F&amp;V Crop Production details'!F46</f>
        <v>0</v>
      </c>
      <c r="G35" s="176">
        <f>'11.F&amp;V Crop Production details'!G46</f>
        <v>0</v>
      </c>
      <c r="H35" s="176">
        <f>'11.F&amp;V Crop Production details'!H46</f>
        <v>0</v>
      </c>
    </row>
    <row r="36" spans="1:8" hidden="1" x14ac:dyDescent="0.25">
      <c r="A36" s="176" t="str">
        <f>'11.F&amp;V Crop Production details'!A47</f>
        <v>Tomato</v>
      </c>
      <c r="B36" s="176">
        <f>'11.F&amp;V Crop Production details'!B47</f>
        <v>0</v>
      </c>
      <c r="C36" s="176">
        <f>'11.F&amp;V Crop Production details'!C47</f>
        <v>0</v>
      </c>
      <c r="D36" s="176">
        <f>'11.F&amp;V Crop Production details'!D47</f>
        <v>0</v>
      </c>
      <c r="E36" s="176">
        <f>'11.F&amp;V Crop Production details'!E47</f>
        <v>0</v>
      </c>
      <c r="F36" s="176">
        <f>'11.F&amp;V Crop Production details'!F47</f>
        <v>0</v>
      </c>
      <c r="G36" s="176">
        <f>'11.F&amp;V Crop Production details'!G47</f>
        <v>0</v>
      </c>
      <c r="H36" s="176">
        <f>'11.F&amp;V Crop Production details'!H47</f>
        <v>0</v>
      </c>
    </row>
    <row r="37" spans="1:8" hidden="1" x14ac:dyDescent="0.25">
      <c r="A37" s="176" t="str">
        <f>'11.F&amp;V Crop Production details'!A48</f>
        <v>Okra</v>
      </c>
      <c r="B37" s="176">
        <f>'11.F&amp;V Crop Production details'!B48</f>
        <v>0</v>
      </c>
      <c r="C37" s="176">
        <f>'11.F&amp;V Crop Production details'!C48</f>
        <v>0</v>
      </c>
      <c r="D37" s="176">
        <f>'11.F&amp;V Crop Production details'!D48</f>
        <v>0</v>
      </c>
      <c r="E37" s="176">
        <f>'11.F&amp;V Crop Production details'!E48</f>
        <v>0</v>
      </c>
      <c r="F37" s="176">
        <f>'11.F&amp;V Crop Production details'!F48</f>
        <v>0</v>
      </c>
      <c r="G37" s="176">
        <f>'11.F&amp;V Crop Production details'!G48</f>
        <v>0</v>
      </c>
      <c r="H37" s="176">
        <f>'11.F&amp;V Crop Production details'!H48</f>
        <v>0</v>
      </c>
    </row>
    <row r="38" spans="1:8" hidden="1" x14ac:dyDescent="0.25">
      <c r="A38" s="176" t="str">
        <f>'11.F&amp;V Crop Production details'!A49</f>
        <v>Chilli</v>
      </c>
      <c r="B38" s="176">
        <f>'11.F&amp;V Crop Production details'!B49</f>
        <v>0</v>
      </c>
      <c r="C38" s="176">
        <f>'11.F&amp;V Crop Production details'!C49</f>
        <v>0</v>
      </c>
      <c r="D38" s="176">
        <f>'11.F&amp;V Crop Production details'!D49</f>
        <v>0</v>
      </c>
      <c r="E38" s="176">
        <f>'11.F&amp;V Crop Production details'!E49</f>
        <v>0</v>
      </c>
      <c r="F38" s="176">
        <f>'11.F&amp;V Crop Production details'!F49</f>
        <v>0</v>
      </c>
      <c r="G38" s="176">
        <f>'11.F&amp;V Crop Production details'!G49</f>
        <v>0</v>
      </c>
      <c r="H38" s="176">
        <f>'11.F&amp;V Crop Production details'!H49</f>
        <v>0</v>
      </c>
    </row>
    <row r="39" spans="1:8" hidden="1" x14ac:dyDescent="0.25">
      <c r="A39" s="176" t="str">
        <f>'11.F&amp;V Crop Production details'!A50</f>
        <v>Potato</v>
      </c>
      <c r="B39" s="176">
        <f>'11.F&amp;V Crop Production details'!B50</f>
        <v>0</v>
      </c>
      <c r="C39" s="176">
        <f>'11.F&amp;V Crop Production details'!C50</f>
        <v>0</v>
      </c>
      <c r="D39" s="176">
        <f>'11.F&amp;V Crop Production details'!D50</f>
        <v>0</v>
      </c>
      <c r="E39" s="176">
        <f>'11.F&amp;V Crop Production details'!E50</f>
        <v>0</v>
      </c>
      <c r="F39" s="176">
        <f>'11.F&amp;V Crop Production details'!F50</f>
        <v>0</v>
      </c>
      <c r="G39" s="176">
        <f>'11.F&amp;V Crop Production details'!G50</f>
        <v>0</v>
      </c>
      <c r="H39" s="176">
        <f>'11.F&amp;V Crop Production details'!H50</f>
        <v>0</v>
      </c>
    </row>
    <row r="40" spans="1:8" hidden="1" x14ac:dyDescent="0.25">
      <c r="A40" s="176">
        <f>'11.F&amp;V Crop Production details'!A51</f>
        <v>0</v>
      </c>
      <c r="B40" s="176">
        <f>'11.F&amp;V Crop Production details'!B51</f>
        <v>0</v>
      </c>
      <c r="C40" s="176">
        <f>'11.F&amp;V Crop Production details'!C51</f>
        <v>0</v>
      </c>
      <c r="D40" s="176">
        <f>'11.F&amp;V Crop Production details'!D51</f>
        <v>0</v>
      </c>
      <c r="E40" s="176">
        <f>'11.F&amp;V Crop Production details'!E51</f>
        <v>0</v>
      </c>
      <c r="F40" s="176">
        <f>'11.F&amp;V Crop Production details'!F51</f>
        <v>0</v>
      </c>
      <c r="G40" s="176">
        <f>'11.F&amp;V Crop Production details'!G51</f>
        <v>0</v>
      </c>
      <c r="H40" s="176">
        <f>'11.F&amp;V Crop Production details'!H51</f>
        <v>0</v>
      </c>
    </row>
    <row r="41" spans="1:8" hidden="1" x14ac:dyDescent="0.25">
      <c r="A41" s="176">
        <f>'11.F&amp;V Crop Production details'!A52</f>
        <v>0</v>
      </c>
      <c r="B41" s="176">
        <f>'11.F&amp;V Crop Production details'!B52</f>
        <v>0</v>
      </c>
      <c r="C41" s="176">
        <f>'11.F&amp;V Crop Production details'!C52</f>
        <v>0</v>
      </c>
      <c r="D41" s="176">
        <f>'11.F&amp;V Crop Production details'!D52</f>
        <v>0</v>
      </c>
      <c r="E41" s="176">
        <f>'11.F&amp;V Crop Production details'!E52</f>
        <v>0</v>
      </c>
      <c r="F41" s="176">
        <f>'11.F&amp;V Crop Production details'!F52</f>
        <v>0</v>
      </c>
      <c r="G41" s="176">
        <f>'11.F&amp;V Crop Production details'!G52</f>
        <v>0</v>
      </c>
      <c r="H41" s="176">
        <f>'11.F&amp;V Crop Production details'!H52</f>
        <v>0</v>
      </c>
    </row>
    <row r="42" spans="1:8" hidden="1" x14ac:dyDescent="0.25">
      <c r="A42" s="176">
        <f>'11.F&amp;V Crop Production details'!A53</f>
        <v>0</v>
      </c>
      <c r="B42" s="176">
        <f>'11.F&amp;V Crop Production details'!B53</f>
        <v>0</v>
      </c>
      <c r="C42" s="176">
        <f>'11.F&amp;V Crop Production details'!C53</f>
        <v>0</v>
      </c>
      <c r="D42" s="176">
        <f>'11.F&amp;V Crop Production details'!D53</f>
        <v>0</v>
      </c>
      <c r="E42" s="176">
        <f>'11.F&amp;V Crop Production details'!E53</f>
        <v>0</v>
      </c>
      <c r="F42" s="176">
        <f>'11.F&amp;V Crop Production details'!F53</f>
        <v>0</v>
      </c>
      <c r="G42" s="176">
        <f>'11.F&amp;V Crop Production details'!G53</f>
        <v>0</v>
      </c>
      <c r="H42" s="176">
        <f>'11.F&amp;V Crop Production details'!H53</f>
        <v>0</v>
      </c>
    </row>
    <row r="43" spans="1:8" hidden="1" x14ac:dyDescent="0.25">
      <c r="A43" s="176">
        <f>'11.F&amp;V Crop Production details'!A54</f>
        <v>0</v>
      </c>
      <c r="B43" s="176">
        <f>'11.F&amp;V Crop Production details'!B54</f>
        <v>0</v>
      </c>
      <c r="C43" s="176">
        <f>'11.F&amp;V Crop Production details'!C54</f>
        <v>0</v>
      </c>
      <c r="D43" s="176">
        <f>'11.F&amp;V Crop Production details'!D54</f>
        <v>0</v>
      </c>
      <c r="E43" s="176">
        <f>'11.F&amp;V Crop Production details'!E54</f>
        <v>0</v>
      </c>
      <c r="F43" s="176">
        <f>'11.F&amp;V Crop Production details'!F54</f>
        <v>0</v>
      </c>
      <c r="G43" s="176">
        <f>'11.F&amp;V Crop Production details'!G54</f>
        <v>0</v>
      </c>
      <c r="H43" s="176">
        <f>'11.F&amp;V Crop Production details'!H54</f>
        <v>0</v>
      </c>
    </row>
    <row r="44" spans="1:8" hidden="1" x14ac:dyDescent="0.25">
      <c r="A44" s="176" t="str">
        <f>'11.F&amp;V Crop Production details'!A55</f>
        <v>Onion</v>
      </c>
      <c r="B44" s="176">
        <f>'11.F&amp;V Crop Production details'!B55</f>
        <v>0</v>
      </c>
      <c r="C44" s="176">
        <f>'11.F&amp;V Crop Production details'!C55</f>
        <v>0</v>
      </c>
      <c r="D44" s="176">
        <f>'11.F&amp;V Crop Production details'!D55</f>
        <v>0</v>
      </c>
      <c r="E44" s="176">
        <f>'11.F&amp;V Crop Production details'!E55</f>
        <v>0</v>
      </c>
      <c r="F44" s="176">
        <f>'11.F&amp;V Crop Production details'!F55</f>
        <v>0</v>
      </c>
      <c r="G44" s="176">
        <f>'11.F&amp;V Crop Production details'!G55</f>
        <v>0</v>
      </c>
      <c r="H44" s="176">
        <f>'11.F&amp;V Crop Production details'!H55</f>
        <v>0</v>
      </c>
    </row>
    <row r="45" spans="1:8" hidden="1" x14ac:dyDescent="0.25">
      <c r="A45" s="176" t="str">
        <f>'11.F&amp;V Crop Production details'!A56</f>
        <v>Tomato</v>
      </c>
      <c r="B45" s="176">
        <f>'11.F&amp;V Crop Production details'!B56</f>
        <v>0</v>
      </c>
      <c r="C45" s="176">
        <f>'11.F&amp;V Crop Production details'!C56</f>
        <v>0</v>
      </c>
      <c r="D45" s="176">
        <f>'11.F&amp;V Crop Production details'!D56</f>
        <v>0</v>
      </c>
      <c r="E45" s="176">
        <f>'11.F&amp;V Crop Production details'!E56</f>
        <v>0</v>
      </c>
      <c r="F45" s="176">
        <f>'11.F&amp;V Crop Production details'!F56</f>
        <v>0</v>
      </c>
      <c r="G45" s="176">
        <f>'11.F&amp;V Crop Production details'!G56</f>
        <v>0</v>
      </c>
      <c r="H45" s="176">
        <f>'11.F&amp;V Crop Production details'!H56</f>
        <v>0</v>
      </c>
    </row>
    <row r="46" spans="1:8" hidden="1" x14ac:dyDescent="0.25">
      <c r="A46" s="176" t="str">
        <f>'11.F&amp;V Crop Production details'!A57</f>
        <v>Okra</v>
      </c>
      <c r="B46" s="176">
        <f>'11.F&amp;V Crop Production details'!B57</f>
        <v>0</v>
      </c>
      <c r="C46" s="176">
        <f>'11.F&amp;V Crop Production details'!C57</f>
        <v>0</v>
      </c>
      <c r="D46" s="176">
        <f>'11.F&amp;V Crop Production details'!D57</f>
        <v>0</v>
      </c>
      <c r="E46" s="176">
        <f>'11.F&amp;V Crop Production details'!E57</f>
        <v>0</v>
      </c>
      <c r="F46" s="176">
        <f>'11.F&amp;V Crop Production details'!F57</f>
        <v>0</v>
      </c>
      <c r="G46" s="176">
        <f>'11.F&amp;V Crop Production details'!G57</f>
        <v>0</v>
      </c>
      <c r="H46" s="176">
        <f>'11.F&amp;V Crop Production details'!H57</f>
        <v>0</v>
      </c>
    </row>
    <row r="47" spans="1:8" hidden="1" x14ac:dyDescent="0.25">
      <c r="A47" s="176" t="str">
        <f>'11.F&amp;V Crop Production details'!A58</f>
        <v>Chilli</v>
      </c>
      <c r="B47" s="176">
        <f>'11.F&amp;V Crop Production details'!B58</f>
        <v>0</v>
      </c>
      <c r="C47" s="176">
        <f>'11.F&amp;V Crop Production details'!C58</f>
        <v>0</v>
      </c>
      <c r="D47" s="176">
        <f>'11.F&amp;V Crop Production details'!D58</f>
        <v>0</v>
      </c>
      <c r="E47" s="176">
        <f>'11.F&amp;V Crop Production details'!E58</f>
        <v>0</v>
      </c>
      <c r="F47" s="176">
        <f>'11.F&amp;V Crop Production details'!F58</f>
        <v>0</v>
      </c>
      <c r="G47" s="176">
        <f>'11.F&amp;V Crop Production details'!G58</f>
        <v>0</v>
      </c>
      <c r="H47" s="176">
        <f>'11.F&amp;V Crop Production details'!H58</f>
        <v>0</v>
      </c>
    </row>
    <row r="48" spans="1:8" hidden="1" x14ac:dyDescent="0.25">
      <c r="A48" s="176" t="str">
        <f>'11.F&amp;V Crop Production details'!A59</f>
        <v>Brinjal</v>
      </c>
      <c r="B48" s="176">
        <f>'11.F&amp;V Crop Production details'!B59</f>
        <v>0</v>
      </c>
      <c r="C48" s="176">
        <f>'11.F&amp;V Crop Production details'!C59</f>
        <v>0</v>
      </c>
      <c r="D48" s="176">
        <f>'11.F&amp;V Crop Production details'!D59</f>
        <v>0</v>
      </c>
      <c r="E48" s="176">
        <f>'11.F&amp;V Crop Production details'!E59</f>
        <v>0</v>
      </c>
      <c r="F48" s="176">
        <f>'11.F&amp;V Crop Production details'!F59</f>
        <v>0</v>
      </c>
      <c r="G48" s="176">
        <f>'11.F&amp;V Crop Production details'!G59</f>
        <v>0</v>
      </c>
      <c r="H48" s="176">
        <f>'11.F&amp;V Crop Production details'!H59</f>
        <v>0</v>
      </c>
    </row>
    <row r="49" spans="1:8" hidden="1" x14ac:dyDescent="0.25">
      <c r="A49" s="176">
        <f>'11.F&amp;V Crop Production details'!A60</f>
        <v>0</v>
      </c>
      <c r="B49" s="176">
        <f>'11.F&amp;V Crop Production details'!B60</f>
        <v>0</v>
      </c>
      <c r="C49" s="176">
        <f>'11.F&amp;V Crop Production details'!C60</f>
        <v>0</v>
      </c>
      <c r="D49" s="176">
        <f>'11.F&amp;V Crop Production details'!D60</f>
        <v>0</v>
      </c>
      <c r="E49" s="176">
        <f>'11.F&amp;V Crop Production details'!E60</f>
        <v>0</v>
      </c>
      <c r="F49" s="176">
        <f>'11.F&amp;V Crop Production details'!F60</f>
        <v>0</v>
      </c>
      <c r="G49" s="176">
        <f>'11.F&amp;V Crop Production details'!G60</f>
        <v>0</v>
      </c>
      <c r="H49" s="176">
        <f>'11.F&amp;V Crop Production details'!H60</f>
        <v>0</v>
      </c>
    </row>
    <row r="50" spans="1:8" hidden="1" x14ac:dyDescent="0.25">
      <c r="A50" s="176">
        <f>'11.F&amp;V Crop Production details'!A61</f>
        <v>0</v>
      </c>
      <c r="B50" s="176">
        <f>'11.F&amp;V Crop Production details'!B61</f>
        <v>0</v>
      </c>
      <c r="C50" s="176">
        <f>'11.F&amp;V Crop Production details'!C61</f>
        <v>0</v>
      </c>
      <c r="D50" s="176">
        <f>'11.F&amp;V Crop Production details'!D61</f>
        <v>0</v>
      </c>
      <c r="E50" s="176">
        <f>'11.F&amp;V Crop Production details'!E61</f>
        <v>0</v>
      </c>
      <c r="F50" s="176">
        <f>'11.F&amp;V Crop Production details'!F61</f>
        <v>0</v>
      </c>
      <c r="G50" s="176">
        <f>'11.F&amp;V Crop Production details'!G61</f>
        <v>0</v>
      </c>
      <c r="H50" s="176">
        <f>'11.F&amp;V Crop Production details'!H61</f>
        <v>0</v>
      </c>
    </row>
    <row r="51" spans="1:8" hidden="1" x14ac:dyDescent="0.25">
      <c r="A51" s="176">
        <f>'11.F&amp;V Crop Production details'!A62</f>
        <v>0</v>
      </c>
      <c r="B51" s="176">
        <f>'11.F&amp;V Crop Production details'!B62</f>
        <v>0</v>
      </c>
      <c r="C51" s="176">
        <f>'11.F&amp;V Crop Production details'!C62</f>
        <v>0</v>
      </c>
      <c r="D51" s="176">
        <f>'11.F&amp;V Crop Production details'!D62</f>
        <v>0</v>
      </c>
      <c r="E51" s="176">
        <f>'11.F&amp;V Crop Production details'!E62</f>
        <v>0</v>
      </c>
      <c r="F51" s="176">
        <f>'11.F&amp;V Crop Production details'!F62</f>
        <v>0</v>
      </c>
      <c r="G51" s="176">
        <f>'11.F&amp;V Crop Production details'!G62</f>
        <v>0</v>
      </c>
      <c r="H51" s="176">
        <f>'11.F&amp;V Crop Production details'!H62</f>
        <v>0</v>
      </c>
    </row>
    <row r="52" spans="1:8" hidden="1" x14ac:dyDescent="0.25">
      <c r="A52" s="176">
        <f>'11.F&amp;V Crop Production details'!A63</f>
        <v>0</v>
      </c>
      <c r="B52" s="176">
        <f>'11.F&amp;V Crop Production details'!B63</f>
        <v>0</v>
      </c>
      <c r="C52" s="176">
        <f>'11.F&amp;V Crop Production details'!C63</f>
        <v>0</v>
      </c>
      <c r="D52" s="176">
        <f>'11.F&amp;V Crop Production details'!D63</f>
        <v>0</v>
      </c>
      <c r="E52" s="176">
        <f>'11.F&amp;V Crop Production details'!E63</f>
        <v>0</v>
      </c>
      <c r="F52" s="176">
        <f>'11.F&amp;V Crop Production details'!F63</f>
        <v>0</v>
      </c>
      <c r="G52" s="176">
        <f>'11.F&amp;V Crop Production details'!G63</f>
        <v>0</v>
      </c>
      <c r="H52" s="176">
        <f>'11.F&amp;V Crop Production details'!H63</f>
        <v>0</v>
      </c>
    </row>
    <row r="53" spans="1:8" hidden="1" x14ac:dyDescent="0.25">
      <c r="A53" s="176">
        <f>'11.F&amp;V Crop Production details'!A64</f>
        <v>0</v>
      </c>
      <c r="B53" s="176"/>
      <c r="C53" s="176"/>
      <c r="D53" s="176"/>
      <c r="E53" s="176"/>
      <c r="F53" s="176"/>
      <c r="G53" s="176"/>
      <c r="H53" s="176"/>
    </row>
    <row r="54" spans="1:8" hidden="1" x14ac:dyDescent="0.25">
      <c r="A54" s="176">
        <f>'11.F&amp;V Crop Production details'!A65</f>
        <v>0</v>
      </c>
      <c r="B54" s="176"/>
      <c r="C54" s="176"/>
      <c r="D54" s="176"/>
      <c r="E54" s="176"/>
      <c r="F54" s="176"/>
      <c r="G54" s="176"/>
      <c r="H54" s="176"/>
    </row>
    <row r="55" spans="1:8" hidden="1" x14ac:dyDescent="0.25">
      <c r="A55" s="176">
        <f>'11.F&amp;V Crop Production details'!A66</f>
        <v>0</v>
      </c>
      <c r="B55" s="176"/>
      <c r="C55" s="176"/>
      <c r="D55" s="176"/>
      <c r="E55" s="176"/>
      <c r="F55" s="176"/>
      <c r="G55" s="176"/>
      <c r="H55" s="176"/>
    </row>
    <row r="56" spans="1:8" hidden="1" x14ac:dyDescent="0.25">
      <c r="A56" s="176" t="str">
        <f>'11.F&amp;V Crop Production details'!A67</f>
        <v>Pomegranate</v>
      </c>
      <c r="B56" s="176">
        <f>'11.F&amp;V Crop Production details'!B67</f>
        <v>0</v>
      </c>
      <c r="C56" s="176">
        <f>'11.F&amp;V Crop Production details'!C67</f>
        <v>0</v>
      </c>
      <c r="D56" s="176">
        <f>'11.F&amp;V Crop Production details'!D67</f>
        <v>0</v>
      </c>
      <c r="E56" s="176">
        <f>'11.F&amp;V Crop Production details'!E67</f>
        <v>0</v>
      </c>
      <c r="F56" s="176">
        <f>'11.F&amp;V Crop Production details'!F67</f>
        <v>0</v>
      </c>
      <c r="G56" s="176">
        <f>'11.F&amp;V Crop Production details'!G67</f>
        <v>0</v>
      </c>
      <c r="H56" s="176">
        <f>'11.F&amp;V Crop Production details'!H67</f>
        <v>0</v>
      </c>
    </row>
    <row r="57" spans="1:8" hidden="1" x14ac:dyDescent="0.25">
      <c r="A57" s="176" t="str">
        <f>'11.F&amp;V Crop Production details'!A68</f>
        <v>Custard Apple</v>
      </c>
      <c r="B57" s="176">
        <f>'11.F&amp;V Crop Production details'!B68</f>
        <v>0</v>
      </c>
      <c r="C57" s="176">
        <f>'11.F&amp;V Crop Production details'!C68</f>
        <v>0</v>
      </c>
      <c r="D57" s="176">
        <f>'11.F&amp;V Crop Production details'!D68</f>
        <v>0</v>
      </c>
      <c r="E57" s="176">
        <f>'11.F&amp;V Crop Production details'!E68</f>
        <v>0</v>
      </c>
      <c r="F57" s="176">
        <f>'11.F&amp;V Crop Production details'!F68</f>
        <v>0</v>
      </c>
      <c r="G57" s="176">
        <f>'11.F&amp;V Crop Production details'!G68</f>
        <v>0</v>
      </c>
      <c r="H57" s="176">
        <f>'11.F&amp;V Crop Production details'!H68</f>
        <v>0</v>
      </c>
    </row>
    <row r="58" spans="1:8" hidden="1" x14ac:dyDescent="0.25">
      <c r="A58" s="176" t="str">
        <f>'11.F&amp;V Crop Production details'!A69</f>
        <v>Guava</v>
      </c>
      <c r="B58" s="176">
        <f>'11.F&amp;V Crop Production details'!B69</f>
        <v>0</v>
      </c>
      <c r="C58" s="176">
        <f>'11.F&amp;V Crop Production details'!C69</f>
        <v>0</v>
      </c>
      <c r="D58" s="176">
        <f>'11.F&amp;V Crop Production details'!D69</f>
        <v>0</v>
      </c>
      <c r="E58" s="176">
        <f>'11.F&amp;V Crop Production details'!E69</f>
        <v>0</v>
      </c>
      <c r="F58" s="176">
        <f>'11.F&amp;V Crop Production details'!F69</f>
        <v>0</v>
      </c>
      <c r="G58" s="176">
        <f>'11.F&amp;V Crop Production details'!G69</f>
        <v>0</v>
      </c>
      <c r="H58" s="176">
        <f>'11.F&amp;V Crop Production details'!H69</f>
        <v>0</v>
      </c>
    </row>
    <row r="59" spans="1:8" hidden="1" x14ac:dyDescent="0.25">
      <c r="A59" s="176" t="str">
        <f>'11.F&amp;V Crop Production details'!A70</f>
        <v>Citrus</v>
      </c>
      <c r="B59" s="176">
        <f>'11.F&amp;V Crop Production details'!B70</f>
        <v>0</v>
      </c>
      <c r="C59" s="176">
        <f>'11.F&amp;V Crop Production details'!C70</f>
        <v>0</v>
      </c>
      <c r="D59" s="176">
        <f>'11.F&amp;V Crop Production details'!D70</f>
        <v>0</v>
      </c>
      <c r="E59" s="176">
        <f>'11.F&amp;V Crop Production details'!E70</f>
        <v>0</v>
      </c>
      <c r="F59" s="176">
        <f>'11.F&amp;V Crop Production details'!F70</f>
        <v>0</v>
      </c>
      <c r="G59" s="176">
        <f>'11.F&amp;V Crop Production details'!G70</f>
        <v>0</v>
      </c>
      <c r="H59" s="176">
        <f>'11.F&amp;V Crop Production details'!H70</f>
        <v>0</v>
      </c>
    </row>
    <row r="60" spans="1:8" hidden="1" x14ac:dyDescent="0.25">
      <c r="A60" s="176"/>
      <c r="B60" s="176"/>
      <c r="C60" s="176"/>
      <c r="D60" s="176"/>
      <c r="E60" s="176"/>
      <c r="F60" s="176"/>
      <c r="G60" s="176"/>
      <c r="H60" s="176"/>
    </row>
    <row r="61" spans="1:8" x14ac:dyDescent="0.25">
      <c r="A61" s="113" t="s">
        <v>508</v>
      </c>
      <c r="B61" s="176">
        <f t="shared" ref="B61:H61" si="2">SUM(B35:B59)</f>
        <v>0</v>
      </c>
      <c r="C61" s="176">
        <f t="shared" si="2"/>
        <v>0</v>
      </c>
      <c r="D61" s="176">
        <f t="shared" si="2"/>
        <v>0</v>
      </c>
      <c r="E61" s="176">
        <f t="shared" si="2"/>
        <v>0</v>
      </c>
      <c r="F61" s="176">
        <f t="shared" si="2"/>
        <v>0</v>
      </c>
      <c r="G61" s="176">
        <f t="shared" si="2"/>
        <v>0</v>
      </c>
      <c r="H61" s="176">
        <f t="shared" si="2"/>
        <v>0</v>
      </c>
    </row>
    <row r="62" spans="1:8" x14ac:dyDescent="0.25">
      <c r="A62" s="177" t="s">
        <v>510</v>
      </c>
      <c r="B62" s="178">
        <v>0.55000000000000004</v>
      </c>
      <c r="C62" s="178">
        <f>B62</f>
        <v>0.55000000000000004</v>
      </c>
      <c r="D62" s="178">
        <f t="shared" ref="D62:H62" si="3">C62</f>
        <v>0.55000000000000004</v>
      </c>
      <c r="E62" s="178">
        <f t="shared" si="3"/>
        <v>0.55000000000000004</v>
      </c>
      <c r="F62" s="178">
        <f t="shared" si="3"/>
        <v>0.55000000000000004</v>
      </c>
      <c r="G62" s="178">
        <f t="shared" si="3"/>
        <v>0.55000000000000004</v>
      </c>
      <c r="H62" s="178">
        <f t="shared" si="3"/>
        <v>0.55000000000000004</v>
      </c>
    </row>
    <row r="63" spans="1:8" x14ac:dyDescent="0.25">
      <c r="A63" s="177" t="s">
        <v>511</v>
      </c>
      <c r="B63" s="178">
        <f t="shared" ref="B63:H63" si="4">1-B62</f>
        <v>0.44999999999999996</v>
      </c>
      <c r="C63" s="178">
        <f t="shared" si="4"/>
        <v>0.44999999999999996</v>
      </c>
      <c r="D63" s="178">
        <f t="shared" si="4"/>
        <v>0.44999999999999996</v>
      </c>
      <c r="E63" s="178">
        <f t="shared" si="4"/>
        <v>0.44999999999999996</v>
      </c>
      <c r="F63" s="178">
        <f t="shared" si="4"/>
        <v>0.44999999999999996</v>
      </c>
      <c r="G63" s="178">
        <f t="shared" si="4"/>
        <v>0.44999999999999996</v>
      </c>
      <c r="H63" s="178">
        <f t="shared" si="4"/>
        <v>0.44999999999999996</v>
      </c>
    </row>
    <row r="64" spans="1:8" x14ac:dyDescent="0.25">
      <c r="A64" s="177"/>
      <c r="B64" s="178"/>
      <c r="C64" s="178"/>
      <c r="D64" s="178"/>
      <c r="E64" s="178"/>
      <c r="F64" s="178"/>
      <c r="G64" s="178"/>
      <c r="H64" s="178"/>
    </row>
    <row r="65" spans="1:8" x14ac:dyDescent="0.25">
      <c r="A65" s="177" t="s">
        <v>688</v>
      </c>
      <c r="B65" s="179">
        <f t="shared" ref="B65:H65" si="5">B33*B62</f>
        <v>11763.699255000001</v>
      </c>
      <c r="C65" s="179">
        <f t="shared" si="5"/>
        <v>12940.069180500001</v>
      </c>
      <c r="D65" s="179">
        <f t="shared" si="5"/>
        <v>13724.315797500001</v>
      </c>
      <c r="E65" s="179">
        <f t="shared" si="5"/>
        <v>14508.5624145</v>
      </c>
      <c r="F65" s="179">
        <f t="shared" si="5"/>
        <v>15292.809031500003</v>
      </c>
      <c r="G65" s="179">
        <f t="shared" si="5"/>
        <v>16077.055648500002</v>
      </c>
      <c r="H65" s="179">
        <f t="shared" si="5"/>
        <v>16861.302265500002</v>
      </c>
    </row>
    <row r="66" spans="1:8" x14ac:dyDescent="0.25">
      <c r="A66" s="113"/>
      <c r="B66" s="176"/>
      <c r="C66" s="176"/>
      <c r="D66" s="176"/>
      <c r="E66" s="176"/>
      <c r="F66" s="176"/>
      <c r="G66" s="176"/>
      <c r="H66" s="176"/>
    </row>
    <row r="67" spans="1:8" x14ac:dyDescent="0.25">
      <c r="A67" s="113" t="s">
        <v>689</v>
      </c>
      <c r="B67" s="176"/>
      <c r="C67" s="176"/>
      <c r="D67" s="176"/>
      <c r="E67" s="176"/>
      <c r="F67" s="176"/>
      <c r="G67" s="176"/>
      <c r="H67" s="176"/>
    </row>
    <row r="68" spans="1:8" x14ac:dyDescent="0.25">
      <c r="A68" s="109" t="str">
        <f t="shared" ref="A68:A89" si="6">A11</f>
        <v>Soybean</v>
      </c>
      <c r="B68" s="450">
        <f>B11*$B$63</f>
        <v>3492.7199999999993</v>
      </c>
      <c r="C68" s="180">
        <f t="shared" ref="C68:C83" si="7">C11*$C$63</f>
        <v>3841.9919999999988</v>
      </c>
      <c r="D68" s="180">
        <f t="shared" ref="D68:D83" si="8">D11*$D$63</f>
        <v>4074.8399999999992</v>
      </c>
      <c r="E68" s="180">
        <f t="shared" ref="E68:E83" si="9">E11*$E$63</f>
        <v>4307.6879999999992</v>
      </c>
      <c r="F68" s="180">
        <f t="shared" ref="F68:F83" si="10">F11*$F$63</f>
        <v>4540.5359999999991</v>
      </c>
      <c r="G68" s="180">
        <f t="shared" ref="G68:G83" si="11">G11*$G$63</f>
        <v>4773.384</v>
      </c>
      <c r="H68" s="180">
        <f t="shared" ref="H68:H83" si="12">H11*$H$63</f>
        <v>5006.232</v>
      </c>
    </row>
    <row r="69" spans="1:8" x14ac:dyDescent="0.25">
      <c r="A69" s="109" t="str">
        <f t="shared" si="6"/>
        <v>Red Gram/Tur</v>
      </c>
      <c r="B69" s="180">
        <f t="shared" ref="B69:B89" si="13">B12*$B$63</f>
        <v>2770.381844999999</v>
      </c>
      <c r="C69" s="180">
        <f t="shared" si="7"/>
        <v>3047.4200294999991</v>
      </c>
      <c r="D69" s="180">
        <f t="shared" si="8"/>
        <v>3232.1121524999994</v>
      </c>
      <c r="E69" s="180">
        <f t="shared" si="9"/>
        <v>3416.8042754999992</v>
      </c>
      <c r="F69" s="180">
        <f t="shared" si="10"/>
        <v>3601.4963984999995</v>
      </c>
      <c r="G69" s="180">
        <f t="shared" si="11"/>
        <v>3786.1885214999993</v>
      </c>
      <c r="H69" s="180">
        <f t="shared" si="12"/>
        <v>3970.8806444999991</v>
      </c>
    </row>
    <row r="70" spans="1:8" hidden="1" x14ac:dyDescent="0.25">
      <c r="A70" s="109" t="str">
        <f t="shared" si="6"/>
        <v>Paddy/Rice</v>
      </c>
      <c r="B70" s="180">
        <f t="shared" si="13"/>
        <v>0</v>
      </c>
      <c r="C70" s="180">
        <f t="shared" si="7"/>
        <v>0</v>
      </c>
      <c r="D70" s="180">
        <f t="shared" si="8"/>
        <v>0</v>
      </c>
      <c r="E70" s="180">
        <f t="shared" si="9"/>
        <v>0</v>
      </c>
      <c r="F70" s="180">
        <f t="shared" si="10"/>
        <v>0</v>
      </c>
      <c r="G70" s="180">
        <f t="shared" si="11"/>
        <v>0</v>
      </c>
      <c r="H70" s="180">
        <f t="shared" si="12"/>
        <v>0</v>
      </c>
    </row>
    <row r="71" spans="1:8" x14ac:dyDescent="0.25">
      <c r="A71" s="109" t="str">
        <f t="shared" si="6"/>
        <v>Green Gram/ Moong</v>
      </c>
      <c r="B71" s="180">
        <f t="shared" si="13"/>
        <v>748.75184999999999</v>
      </c>
      <c r="C71" s="180">
        <f t="shared" si="7"/>
        <v>823.62703499999986</v>
      </c>
      <c r="D71" s="180">
        <f t="shared" si="8"/>
        <v>873.54382499999986</v>
      </c>
      <c r="E71" s="180">
        <f t="shared" si="9"/>
        <v>923.46061499999996</v>
      </c>
      <c r="F71" s="180">
        <f t="shared" si="10"/>
        <v>973.37740500000007</v>
      </c>
      <c r="G71" s="180">
        <f t="shared" si="11"/>
        <v>1023.2941950000001</v>
      </c>
      <c r="H71" s="180">
        <f t="shared" si="12"/>
        <v>1073.2109850000002</v>
      </c>
    </row>
    <row r="72" spans="1:8" hidden="1" x14ac:dyDescent="0.25">
      <c r="A72" s="109" t="str">
        <f t="shared" si="6"/>
        <v>Maize</v>
      </c>
      <c r="B72" s="180">
        <f t="shared" si="13"/>
        <v>0</v>
      </c>
      <c r="C72" s="180">
        <f t="shared" si="7"/>
        <v>0</v>
      </c>
      <c r="D72" s="180">
        <f t="shared" si="8"/>
        <v>0</v>
      </c>
      <c r="E72" s="180">
        <f t="shared" si="9"/>
        <v>0</v>
      </c>
      <c r="F72" s="180">
        <f t="shared" si="10"/>
        <v>0</v>
      </c>
      <c r="G72" s="180">
        <f t="shared" si="11"/>
        <v>0</v>
      </c>
      <c r="H72" s="180">
        <f t="shared" si="12"/>
        <v>0</v>
      </c>
    </row>
    <row r="73" spans="1:8" hidden="1" x14ac:dyDescent="0.25">
      <c r="A73" s="109" t="str">
        <f t="shared" si="6"/>
        <v>Black Gram/Udid</v>
      </c>
      <c r="B73" s="180">
        <f t="shared" si="13"/>
        <v>0</v>
      </c>
      <c r="C73" s="180">
        <f t="shared" si="7"/>
        <v>0</v>
      </c>
      <c r="D73" s="180">
        <f t="shared" si="8"/>
        <v>0</v>
      </c>
      <c r="E73" s="180">
        <f t="shared" si="9"/>
        <v>0</v>
      </c>
      <c r="F73" s="180">
        <f t="shared" si="10"/>
        <v>0</v>
      </c>
      <c r="G73" s="180">
        <f t="shared" si="11"/>
        <v>0</v>
      </c>
      <c r="H73" s="180">
        <f t="shared" si="12"/>
        <v>0</v>
      </c>
    </row>
    <row r="74" spans="1:8" hidden="1" x14ac:dyDescent="0.25">
      <c r="A74" s="109" t="str">
        <f t="shared" si="6"/>
        <v>Bajra</v>
      </c>
      <c r="B74" s="180">
        <f t="shared" si="13"/>
        <v>0</v>
      </c>
      <c r="C74" s="180">
        <f t="shared" si="7"/>
        <v>0</v>
      </c>
      <c r="D74" s="180">
        <f t="shared" si="8"/>
        <v>0</v>
      </c>
      <c r="E74" s="180">
        <f t="shared" si="9"/>
        <v>0</v>
      </c>
      <c r="F74" s="180">
        <f t="shared" si="10"/>
        <v>0</v>
      </c>
      <c r="G74" s="180">
        <f t="shared" si="11"/>
        <v>0</v>
      </c>
      <c r="H74" s="180">
        <f t="shared" si="12"/>
        <v>0</v>
      </c>
    </row>
    <row r="75" spans="1:8" hidden="1" x14ac:dyDescent="0.25">
      <c r="A75" s="109" t="str">
        <f t="shared" si="6"/>
        <v>Jawar</v>
      </c>
      <c r="B75" s="180">
        <f t="shared" si="13"/>
        <v>0</v>
      </c>
      <c r="C75" s="180">
        <f t="shared" si="7"/>
        <v>0</v>
      </c>
      <c r="D75" s="180">
        <f t="shared" si="8"/>
        <v>0</v>
      </c>
      <c r="E75" s="180">
        <f t="shared" si="9"/>
        <v>0</v>
      </c>
      <c r="F75" s="180">
        <f t="shared" si="10"/>
        <v>0</v>
      </c>
      <c r="G75" s="180">
        <f t="shared" si="11"/>
        <v>0</v>
      </c>
      <c r="H75" s="180">
        <f t="shared" si="12"/>
        <v>0</v>
      </c>
    </row>
    <row r="76" spans="1:8" hidden="1" x14ac:dyDescent="0.25">
      <c r="A76" s="109" t="str">
        <f t="shared" si="6"/>
        <v>Sunflower</v>
      </c>
      <c r="B76" s="180">
        <f t="shared" si="13"/>
        <v>0</v>
      </c>
      <c r="C76" s="180">
        <f t="shared" si="7"/>
        <v>0</v>
      </c>
      <c r="D76" s="180">
        <f t="shared" si="8"/>
        <v>0</v>
      </c>
      <c r="E76" s="180">
        <f t="shared" si="9"/>
        <v>0</v>
      </c>
      <c r="F76" s="180">
        <f t="shared" si="10"/>
        <v>0</v>
      </c>
      <c r="G76" s="180">
        <f t="shared" si="11"/>
        <v>0</v>
      </c>
      <c r="H76" s="180">
        <f t="shared" si="12"/>
        <v>0</v>
      </c>
    </row>
    <row r="77" spans="1:8" hidden="1" x14ac:dyDescent="0.25">
      <c r="A77" s="109" t="str">
        <f t="shared" si="6"/>
        <v>Wheat</v>
      </c>
      <c r="B77" s="180">
        <f t="shared" si="13"/>
        <v>0</v>
      </c>
      <c r="C77" s="180">
        <f t="shared" si="7"/>
        <v>0</v>
      </c>
      <c r="D77" s="180">
        <f t="shared" si="8"/>
        <v>0</v>
      </c>
      <c r="E77" s="180">
        <f t="shared" si="9"/>
        <v>0</v>
      </c>
      <c r="F77" s="180">
        <f t="shared" si="10"/>
        <v>0</v>
      </c>
      <c r="G77" s="180">
        <f t="shared" si="11"/>
        <v>0</v>
      </c>
      <c r="H77" s="180">
        <f t="shared" si="12"/>
        <v>0</v>
      </c>
    </row>
    <row r="78" spans="1:8" x14ac:dyDescent="0.25">
      <c r="A78" s="109" t="str">
        <f t="shared" si="6"/>
        <v>Bengal Gram/Channa</v>
      </c>
      <c r="B78" s="180">
        <f t="shared" si="13"/>
        <v>2612.9911499999998</v>
      </c>
      <c r="C78" s="180">
        <f t="shared" si="7"/>
        <v>2874.2902649999996</v>
      </c>
      <c r="D78" s="180">
        <f t="shared" si="8"/>
        <v>3048.4896749999998</v>
      </c>
      <c r="E78" s="180">
        <f t="shared" si="9"/>
        <v>3222.689085</v>
      </c>
      <c r="F78" s="180">
        <f t="shared" si="10"/>
        <v>3396.8884950000001</v>
      </c>
      <c r="G78" s="180">
        <f t="shared" si="11"/>
        <v>3571.0879049999999</v>
      </c>
      <c r="H78" s="180">
        <f t="shared" si="12"/>
        <v>3745.287315</v>
      </c>
    </row>
    <row r="79" spans="1:8" hidden="1" x14ac:dyDescent="0.25">
      <c r="A79" s="109" t="str">
        <f t="shared" si="6"/>
        <v>Jawar</v>
      </c>
      <c r="B79" s="180">
        <f t="shared" si="13"/>
        <v>0</v>
      </c>
      <c r="C79" s="180">
        <f t="shared" si="7"/>
        <v>0</v>
      </c>
      <c r="D79" s="180">
        <f t="shared" si="8"/>
        <v>0</v>
      </c>
      <c r="E79" s="180">
        <f t="shared" si="9"/>
        <v>0</v>
      </c>
      <c r="F79" s="180">
        <f t="shared" si="10"/>
        <v>0</v>
      </c>
      <c r="G79" s="180">
        <f t="shared" si="11"/>
        <v>0</v>
      </c>
      <c r="H79" s="180">
        <f t="shared" si="12"/>
        <v>0</v>
      </c>
    </row>
    <row r="80" spans="1:8" hidden="1" x14ac:dyDescent="0.25">
      <c r="A80" s="109" t="str">
        <f t="shared" si="6"/>
        <v>Maize</v>
      </c>
      <c r="B80" s="180">
        <f t="shared" si="13"/>
        <v>0</v>
      </c>
      <c r="C80" s="180">
        <f t="shared" si="7"/>
        <v>0</v>
      </c>
      <c r="D80" s="180">
        <f t="shared" si="8"/>
        <v>0</v>
      </c>
      <c r="E80" s="180">
        <f t="shared" si="9"/>
        <v>0</v>
      </c>
      <c r="F80" s="180">
        <f t="shared" si="10"/>
        <v>0</v>
      </c>
      <c r="G80" s="180">
        <f t="shared" si="11"/>
        <v>0</v>
      </c>
      <c r="H80" s="180">
        <f t="shared" si="12"/>
        <v>0</v>
      </c>
    </row>
    <row r="81" spans="1:12" hidden="1" x14ac:dyDescent="0.25">
      <c r="A81" s="109" t="str">
        <f t="shared" si="6"/>
        <v>Safflower</v>
      </c>
      <c r="B81" s="180">
        <f t="shared" si="13"/>
        <v>0</v>
      </c>
      <c r="C81" s="180">
        <f t="shared" si="7"/>
        <v>0</v>
      </c>
      <c r="D81" s="180">
        <f t="shared" si="8"/>
        <v>0</v>
      </c>
      <c r="E81" s="180">
        <f t="shared" si="9"/>
        <v>0</v>
      </c>
      <c r="F81" s="180">
        <f t="shared" si="10"/>
        <v>0</v>
      </c>
      <c r="G81" s="180">
        <f t="shared" si="11"/>
        <v>0</v>
      </c>
      <c r="H81" s="180">
        <f t="shared" si="12"/>
        <v>0</v>
      </c>
    </row>
    <row r="82" spans="1:12" hidden="1" x14ac:dyDescent="0.25">
      <c r="A82" s="109">
        <f t="shared" si="6"/>
        <v>0</v>
      </c>
      <c r="B82" s="180">
        <f t="shared" si="13"/>
        <v>0</v>
      </c>
      <c r="C82" s="180">
        <f t="shared" si="7"/>
        <v>0</v>
      </c>
      <c r="D82" s="180">
        <f t="shared" si="8"/>
        <v>0</v>
      </c>
      <c r="E82" s="180">
        <f t="shared" si="9"/>
        <v>0</v>
      </c>
      <c r="F82" s="180">
        <f t="shared" si="10"/>
        <v>0</v>
      </c>
      <c r="G82" s="180">
        <f t="shared" si="11"/>
        <v>0</v>
      </c>
      <c r="H82" s="180">
        <f t="shared" si="12"/>
        <v>0</v>
      </c>
    </row>
    <row r="83" spans="1:12" hidden="1" x14ac:dyDescent="0.25">
      <c r="A83" s="109">
        <f t="shared" si="6"/>
        <v>0</v>
      </c>
      <c r="B83" s="180">
        <f t="shared" si="13"/>
        <v>0</v>
      </c>
      <c r="C83" s="180">
        <f t="shared" si="7"/>
        <v>0</v>
      </c>
      <c r="D83" s="180">
        <f t="shared" si="8"/>
        <v>0</v>
      </c>
      <c r="E83" s="180">
        <f t="shared" si="9"/>
        <v>0</v>
      </c>
      <c r="F83" s="180">
        <f t="shared" si="10"/>
        <v>0</v>
      </c>
      <c r="G83" s="180">
        <f t="shared" si="11"/>
        <v>0</v>
      </c>
      <c r="H83" s="180">
        <f t="shared" si="12"/>
        <v>0</v>
      </c>
    </row>
    <row r="84" spans="1:12" hidden="1" x14ac:dyDescent="0.25">
      <c r="A84" s="109">
        <f t="shared" si="6"/>
        <v>0</v>
      </c>
      <c r="B84" s="180">
        <f t="shared" si="13"/>
        <v>0</v>
      </c>
      <c r="C84" s="180">
        <f t="shared" ref="C84:H89" si="14">C27*$B$63</f>
        <v>0</v>
      </c>
      <c r="D84" s="180">
        <f t="shared" si="14"/>
        <v>0</v>
      </c>
      <c r="E84" s="180">
        <f t="shared" si="14"/>
        <v>0</v>
      </c>
      <c r="F84" s="180">
        <f t="shared" si="14"/>
        <v>0</v>
      </c>
      <c r="G84" s="180">
        <f t="shared" si="14"/>
        <v>0</v>
      </c>
      <c r="H84" s="180">
        <f t="shared" si="14"/>
        <v>0</v>
      </c>
    </row>
    <row r="85" spans="1:12" hidden="1" x14ac:dyDescent="0.25">
      <c r="A85" s="109" t="str">
        <f t="shared" si="6"/>
        <v>Groundnut</v>
      </c>
      <c r="B85" s="180">
        <f t="shared" si="13"/>
        <v>0</v>
      </c>
      <c r="C85" s="180">
        <f t="shared" si="14"/>
        <v>0</v>
      </c>
      <c r="D85" s="180">
        <f t="shared" si="14"/>
        <v>0</v>
      </c>
      <c r="E85" s="180">
        <f t="shared" si="14"/>
        <v>0</v>
      </c>
      <c r="F85" s="180">
        <f t="shared" si="14"/>
        <v>0</v>
      </c>
      <c r="G85" s="180">
        <f t="shared" si="14"/>
        <v>0</v>
      </c>
      <c r="H85" s="180">
        <f t="shared" si="14"/>
        <v>0</v>
      </c>
    </row>
    <row r="86" spans="1:12" hidden="1" x14ac:dyDescent="0.25">
      <c r="A86" s="109">
        <f t="shared" si="6"/>
        <v>0</v>
      </c>
      <c r="B86" s="180">
        <f t="shared" si="13"/>
        <v>0</v>
      </c>
      <c r="C86" s="180">
        <f t="shared" si="14"/>
        <v>0</v>
      </c>
      <c r="D86" s="180">
        <f t="shared" si="14"/>
        <v>0</v>
      </c>
      <c r="E86" s="180">
        <f t="shared" si="14"/>
        <v>0</v>
      </c>
      <c r="F86" s="180">
        <f t="shared" si="14"/>
        <v>0</v>
      </c>
      <c r="G86" s="180">
        <f t="shared" si="14"/>
        <v>0</v>
      </c>
      <c r="H86" s="180">
        <f t="shared" si="14"/>
        <v>0</v>
      </c>
    </row>
    <row r="87" spans="1:12" hidden="1" x14ac:dyDescent="0.25">
      <c r="A87" s="109">
        <f t="shared" si="6"/>
        <v>0</v>
      </c>
      <c r="B87" s="180">
        <f t="shared" si="13"/>
        <v>0</v>
      </c>
      <c r="C87" s="180">
        <f t="shared" si="14"/>
        <v>0</v>
      </c>
      <c r="D87" s="180">
        <f t="shared" si="14"/>
        <v>0</v>
      </c>
      <c r="E87" s="180">
        <f t="shared" si="14"/>
        <v>0</v>
      </c>
      <c r="F87" s="180">
        <f t="shared" si="14"/>
        <v>0</v>
      </c>
      <c r="G87" s="180">
        <f t="shared" si="14"/>
        <v>0</v>
      </c>
      <c r="H87" s="180">
        <f t="shared" si="14"/>
        <v>0</v>
      </c>
    </row>
    <row r="88" spans="1:12" hidden="1" x14ac:dyDescent="0.25">
      <c r="A88" s="109">
        <f t="shared" si="6"/>
        <v>0</v>
      </c>
      <c r="B88" s="180">
        <f t="shared" si="13"/>
        <v>0</v>
      </c>
      <c r="C88" s="180">
        <f t="shared" si="14"/>
        <v>0</v>
      </c>
      <c r="D88" s="180">
        <f t="shared" si="14"/>
        <v>0</v>
      </c>
      <c r="E88" s="180">
        <f t="shared" si="14"/>
        <v>0</v>
      </c>
      <c r="F88" s="180">
        <f t="shared" si="14"/>
        <v>0</v>
      </c>
      <c r="G88" s="180">
        <f t="shared" si="14"/>
        <v>0</v>
      </c>
      <c r="H88" s="180">
        <f t="shared" si="14"/>
        <v>0</v>
      </c>
    </row>
    <row r="89" spans="1:12" hidden="1" x14ac:dyDescent="0.25">
      <c r="A89" s="109">
        <f t="shared" si="6"/>
        <v>0</v>
      </c>
      <c r="B89" s="180">
        <f t="shared" si="13"/>
        <v>0</v>
      </c>
      <c r="C89" s="180">
        <f t="shared" si="14"/>
        <v>0</v>
      </c>
      <c r="D89" s="180">
        <f t="shared" si="14"/>
        <v>0</v>
      </c>
      <c r="E89" s="180">
        <f t="shared" si="14"/>
        <v>0</v>
      </c>
      <c r="F89" s="180">
        <f t="shared" si="14"/>
        <v>0</v>
      </c>
      <c r="G89" s="180">
        <f t="shared" si="14"/>
        <v>0</v>
      </c>
      <c r="H89" s="180">
        <f t="shared" si="14"/>
        <v>0</v>
      </c>
    </row>
    <row r="90" spans="1:12" hidden="1" x14ac:dyDescent="0.25">
      <c r="A90" s="109"/>
      <c r="B90" s="180"/>
      <c r="C90" s="180"/>
      <c r="D90" s="180"/>
      <c r="E90" s="180"/>
      <c r="F90" s="180"/>
      <c r="G90" s="180"/>
      <c r="H90" s="180"/>
      <c r="J90" s="149"/>
      <c r="K90" s="149"/>
      <c r="L90" s="149"/>
    </row>
    <row r="91" spans="1:12" hidden="1" x14ac:dyDescent="0.25">
      <c r="A91" s="109" t="str">
        <f t="shared" ref="A91:A116" si="15">A34</f>
        <v>Fruit  &amp; Vegetables Crop Production Details</v>
      </c>
      <c r="B91" s="180"/>
      <c r="C91" s="180"/>
      <c r="D91" s="180"/>
      <c r="E91" s="180"/>
      <c r="F91" s="180"/>
      <c r="G91" s="180"/>
      <c r="H91" s="180"/>
      <c r="J91" s="149"/>
      <c r="K91" s="149"/>
      <c r="L91" s="149"/>
    </row>
    <row r="92" spans="1:12" hidden="1" x14ac:dyDescent="0.25">
      <c r="A92" s="109" t="str">
        <f t="shared" si="15"/>
        <v>Onion</v>
      </c>
      <c r="B92" s="180">
        <f t="shared" ref="B92:H101" si="16">B35</f>
        <v>0</v>
      </c>
      <c r="C92" s="180">
        <f t="shared" si="16"/>
        <v>0</v>
      </c>
      <c r="D92" s="180">
        <f t="shared" si="16"/>
        <v>0</v>
      </c>
      <c r="E92" s="180">
        <f t="shared" si="16"/>
        <v>0</v>
      </c>
      <c r="F92" s="180">
        <f t="shared" si="16"/>
        <v>0</v>
      </c>
      <c r="G92" s="180">
        <f t="shared" si="16"/>
        <v>0</v>
      </c>
      <c r="H92" s="180">
        <f t="shared" si="16"/>
        <v>0</v>
      </c>
      <c r="J92" s="149"/>
      <c r="K92" s="149"/>
      <c r="L92" s="149"/>
    </row>
    <row r="93" spans="1:12" hidden="1" x14ac:dyDescent="0.25">
      <c r="A93" s="109" t="str">
        <f t="shared" si="15"/>
        <v>Tomato</v>
      </c>
      <c r="B93" s="180">
        <f t="shared" si="16"/>
        <v>0</v>
      </c>
      <c r="C93" s="180">
        <f t="shared" si="16"/>
        <v>0</v>
      </c>
      <c r="D93" s="180">
        <f t="shared" si="16"/>
        <v>0</v>
      </c>
      <c r="E93" s="180">
        <f t="shared" si="16"/>
        <v>0</v>
      </c>
      <c r="F93" s="180">
        <f t="shared" si="16"/>
        <v>0</v>
      </c>
      <c r="G93" s="180">
        <f t="shared" si="16"/>
        <v>0</v>
      </c>
      <c r="H93" s="180">
        <f t="shared" si="16"/>
        <v>0</v>
      </c>
      <c r="J93" s="149"/>
      <c r="K93" s="149"/>
      <c r="L93" s="149"/>
    </row>
    <row r="94" spans="1:12" hidden="1" x14ac:dyDescent="0.25">
      <c r="A94" s="109" t="str">
        <f t="shared" si="15"/>
        <v>Okra</v>
      </c>
      <c r="B94" s="180">
        <f t="shared" si="16"/>
        <v>0</v>
      </c>
      <c r="C94" s="180">
        <f t="shared" si="16"/>
        <v>0</v>
      </c>
      <c r="D94" s="180">
        <f t="shared" si="16"/>
        <v>0</v>
      </c>
      <c r="E94" s="180">
        <f t="shared" si="16"/>
        <v>0</v>
      </c>
      <c r="F94" s="180">
        <f t="shared" si="16"/>
        <v>0</v>
      </c>
      <c r="G94" s="180">
        <f t="shared" si="16"/>
        <v>0</v>
      </c>
      <c r="H94" s="180">
        <f t="shared" si="16"/>
        <v>0</v>
      </c>
      <c r="J94" s="149"/>
      <c r="K94" s="149"/>
      <c r="L94" s="149"/>
    </row>
    <row r="95" spans="1:12" hidden="1" x14ac:dyDescent="0.25">
      <c r="A95" s="109" t="str">
        <f t="shared" si="15"/>
        <v>Chilli</v>
      </c>
      <c r="B95" s="180">
        <f t="shared" si="16"/>
        <v>0</v>
      </c>
      <c r="C95" s="180">
        <f t="shared" si="16"/>
        <v>0</v>
      </c>
      <c r="D95" s="180">
        <f t="shared" si="16"/>
        <v>0</v>
      </c>
      <c r="E95" s="180">
        <f t="shared" si="16"/>
        <v>0</v>
      </c>
      <c r="F95" s="180">
        <f t="shared" si="16"/>
        <v>0</v>
      </c>
      <c r="G95" s="180">
        <f t="shared" si="16"/>
        <v>0</v>
      </c>
      <c r="H95" s="180">
        <f t="shared" si="16"/>
        <v>0</v>
      </c>
      <c r="J95" s="149"/>
      <c r="K95" s="149"/>
      <c r="L95" s="149"/>
    </row>
    <row r="96" spans="1:12" hidden="1" x14ac:dyDescent="0.25">
      <c r="A96" s="109" t="str">
        <f t="shared" si="15"/>
        <v>Potato</v>
      </c>
      <c r="B96" s="180">
        <f t="shared" si="16"/>
        <v>0</v>
      </c>
      <c r="C96" s="180">
        <f t="shared" si="16"/>
        <v>0</v>
      </c>
      <c r="D96" s="180">
        <f t="shared" si="16"/>
        <v>0</v>
      </c>
      <c r="E96" s="180">
        <f t="shared" si="16"/>
        <v>0</v>
      </c>
      <c r="F96" s="180">
        <f t="shared" si="16"/>
        <v>0</v>
      </c>
      <c r="G96" s="180">
        <f t="shared" si="16"/>
        <v>0</v>
      </c>
      <c r="H96" s="180">
        <f t="shared" si="16"/>
        <v>0</v>
      </c>
      <c r="J96" s="149"/>
      <c r="K96" s="149"/>
      <c r="L96" s="149"/>
    </row>
    <row r="97" spans="1:12" hidden="1" x14ac:dyDescent="0.25">
      <c r="A97" s="109">
        <f t="shared" si="15"/>
        <v>0</v>
      </c>
      <c r="B97" s="180">
        <f t="shared" si="16"/>
        <v>0</v>
      </c>
      <c r="C97" s="180">
        <f t="shared" si="16"/>
        <v>0</v>
      </c>
      <c r="D97" s="180">
        <f t="shared" si="16"/>
        <v>0</v>
      </c>
      <c r="E97" s="180">
        <f t="shared" si="16"/>
        <v>0</v>
      </c>
      <c r="F97" s="180">
        <f t="shared" si="16"/>
        <v>0</v>
      </c>
      <c r="G97" s="180">
        <f t="shared" si="16"/>
        <v>0</v>
      </c>
      <c r="H97" s="180">
        <f t="shared" si="16"/>
        <v>0</v>
      </c>
      <c r="J97" s="149"/>
      <c r="K97" s="149"/>
      <c r="L97" s="149"/>
    </row>
    <row r="98" spans="1:12" hidden="1" x14ac:dyDescent="0.25">
      <c r="A98" s="109">
        <f t="shared" si="15"/>
        <v>0</v>
      </c>
      <c r="B98" s="180">
        <f t="shared" si="16"/>
        <v>0</v>
      </c>
      <c r="C98" s="180">
        <f t="shared" si="16"/>
        <v>0</v>
      </c>
      <c r="D98" s="180">
        <f t="shared" si="16"/>
        <v>0</v>
      </c>
      <c r="E98" s="180">
        <f t="shared" si="16"/>
        <v>0</v>
      </c>
      <c r="F98" s="180">
        <f t="shared" si="16"/>
        <v>0</v>
      </c>
      <c r="G98" s="180">
        <f t="shared" si="16"/>
        <v>0</v>
      </c>
      <c r="H98" s="180">
        <f t="shared" si="16"/>
        <v>0</v>
      </c>
      <c r="J98" s="149"/>
      <c r="K98" s="149"/>
      <c r="L98" s="149"/>
    </row>
    <row r="99" spans="1:12" hidden="1" x14ac:dyDescent="0.25">
      <c r="A99" s="109">
        <f t="shared" si="15"/>
        <v>0</v>
      </c>
      <c r="B99" s="180">
        <f t="shared" si="16"/>
        <v>0</v>
      </c>
      <c r="C99" s="180">
        <f t="shared" si="16"/>
        <v>0</v>
      </c>
      <c r="D99" s="180">
        <f t="shared" si="16"/>
        <v>0</v>
      </c>
      <c r="E99" s="180">
        <f t="shared" si="16"/>
        <v>0</v>
      </c>
      <c r="F99" s="180">
        <f t="shared" si="16"/>
        <v>0</v>
      </c>
      <c r="G99" s="180">
        <f t="shared" si="16"/>
        <v>0</v>
      </c>
      <c r="H99" s="180">
        <f t="shared" si="16"/>
        <v>0</v>
      </c>
      <c r="J99" s="149"/>
      <c r="K99" s="149"/>
      <c r="L99" s="149"/>
    </row>
    <row r="100" spans="1:12" hidden="1" x14ac:dyDescent="0.25">
      <c r="A100" s="109">
        <f t="shared" si="15"/>
        <v>0</v>
      </c>
      <c r="B100" s="180">
        <f t="shared" si="16"/>
        <v>0</v>
      </c>
      <c r="C100" s="180">
        <f t="shared" si="16"/>
        <v>0</v>
      </c>
      <c r="D100" s="180">
        <f t="shared" si="16"/>
        <v>0</v>
      </c>
      <c r="E100" s="180">
        <f t="shared" si="16"/>
        <v>0</v>
      </c>
      <c r="F100" s="180">
        <f t="shared" si="16"/>
        <v>0</v>
      </c>
      <c r="G100" s="180">
        <f t="shared" si="16"/>
        <v>0</v>
      </c>
      <c r="H100" s="180">
        <f t="shared" si="16"/>
        <v>0</v>
      </c>
      <c r="J100" s="149"/>
      <c r="K100" s="149"/>
      <c r="L100" s="149"/>
    </row>
    <row r="101" spans="1:12" hidden="1" x14ac:dyDescent="0.25">
      <c r="A101" s="109" t="str">
        <f t="shared" si="15"/>
        <v>Onion</v>
      </c>
      <c r="B101" s="180">
        <f t="shared" si="16"/>
        <v>0</v>
      </c>
      <c r="C101" s="180">
        <f t="shared" si="16"/>
        <v>0</v>
      </c>
      <c r="D101" s="180">
        <f t="shared" si="16"/>
        <v>0</v>
      </c>
      <c r="E101" s="180">
        <f t="shared" si="16"/>
        <v>0</v>
      </c>
      <c r="F101" s="180">
        <f t="shared" si="16"/>
        <v>0</v>
      </c>
      <c r="G101" s="180">
        <f t="shared" si="16"/>
        <v>0</v>
      </c>
      <c r="H101" s="180">
        <f t="shared" si="16"/>
        <v>0</v>
      </c>
      <c r="J101" s="149"/>
      <c r="K101" s="149"/>
      <c r="L101" s="149"/>
    </row>
    <row r="102" spans="1:12" hidden="1" x14ac:dyDescent="0.25">
      <c r="A102" s="109" t="str">
        <f t="shared" si="15"/>
        <v>Tomato</v>
      </c>
      <c r="B102" s="180">
        <f t="shared" ref="B102:H109" si="17">B45</f>
        <v>0</v>
      </c>
      <c r="C102" s="180">
        <f t="shared" si="17"/>
        <v>0</v>
      </c>
      <c r="D102" s="180">
        <f t="shared" si="17"/>
        <v>0</v>
      </c>
      <c r="E102" s="180">
        <f t="shared" si="17"/>
        <v>0</v>
      </c>
      <c r="F102" s="180">
        <f t="shared" si="17"/>
        <v>0</v>
      </c>
      <c r="G102" s="180">
        <f t="shared" si="17"/>
        <v>0</v>
      </c>
      <c r="H102" s="180">
        <f t="shared" si="17"/>
        <v>0</v>
      </c>
      <c r="J102" s="149"/>
      <c r="K102" s="149"/>
      <c r="L102" s="149"/>
    </row>
    <row r="103" spans="1:12" hidden="1" x14ac:dyDescent="0.25">
      <c r="A103" s="109" t="str">
        <f t="shared" si="15"/>
        <v>Okra</v>
      </c>
      <c r="B103" s="180">
        <f t="shared" si="17"/>
        <v>0</v>
      </c>
      <c r="C103" s="180">
        <f t="shared" si="17"/>
        <v>0</v>
      </c>
      <c r="D103" s="180">
        <f t="shared" si="17"/>
        <v>0</v>
      </c>
      <c r="E103" s="180">
        <f t="shared" si="17"/>
        <v>0</v>
      </c>
      <c r="F103" s="180">
        <f t="shared" si="17"/>
        <v>0</v>
      </c>
      <c r="G103" s="180">
        <f t="shared" si="17"/>
        <v>0</v>
      </c>
      <c r="H103" s="180">
        <f t="shared" si="17"/>
        <v>0</v>
      </c>
      <c r="J103" s="149"/>
      <c r="K103" s="149"/>
      <c r="L103" s="149"/>
    </row>
    <row r="104" spans="1:12" hidden="1" x14ac:dyDescent="0.25">
      <c r="A104" s="109" t="str">
        <f t="shared" si="15"/>
        <v>Chilli</v>
      </c>
      <c r="B104" s="180">
        <f t="shared" si="17"/>
        <v>0</v>
      </c>
      <c r="C104" s="180">
        <f t="shared" si="17"/>
        <v>0</v>
      </c>
      <c r="D104" s="180">
        <f t="shared" si="17"/>
        <v>0</v>
      </c>
      <c r="E104" s="180">
        <f t="shared" si="17"/>
        <v>0</v>
      </c>
      <c r="F104" s="180">
        <f t="shared" si="17"/>
        <v>0</v>
      </c>
      <c r="G104" s="180">
        <f t="shared" si="17"/>
        <v>0</v>
      </c>
      <c r="H104" s="180">
        <f t="shared" si="17"/>
        <v>0</v>
      </c>
      <c r="J104" s="149"/>
      <c r="K104" s="149"/>
      <c r="L104" s="149"/>
    </row>
    <row r="105" spans="1:12" hidden="1" x14ac:dyDescent="0.25">
      <c r="A105" s="109" t="str">
        <f t="shared" si="15"/>
        <v>Brinjal</v>
      </c>
      <c r="B105" s="180">
        <f t="shared" si="17"/>
        <v>0</v>
      </c>
      <c r="C105" s="180">
        <f t="shared" si="17"/>
        <v>0</v>
      </c>
      <c r="D105" s="180">
        <f t="shared" si="17"/>
        <v>0</v>
      </c>
      <c r="E105" s="180">
        <f t="shared" si="17"/>
        <v>0</v>
      </c>
      <c r="F105" s="180">
        <f t="shared" si="17"/>
        <v>0</v>
      </c>
      <c r="G105" s="180">
        <f t="shared" si="17"/>
        <v>0</v>
      </c>
      <c r="H105" s="180">
        <f t="shared" si="17"/>
        <v>0</v>
      </c>
      <c r="J105" s="149"/>
      <c r="K105" s="149"/>
      <c r="L105" s="149"/>
    </row>
    <row r="106" spans="1:12" hidden="1" x14ac:dyDescent="0.25">
      <c r="A106" s="109">
        <f t="shared" si="15"/>
        <v>0</v>
      </c>
      <c r="B106" s="180">
        <f t="shared" si="17"/>
        <v>0</v>
      </c>
      <c r="C106" s="180">
        <f t="shared" si="17"/>
        <v>0</v>
      </c>
      <c r="D106" s="180">
        <f t="shared" si="17"/>
        <v>0</v>
      </c>
      <c r="E106" s="180">
        <f t="shared" si="17"/>
        <v>0</v>
      </c>
      <c r="F106" s="180">
        <f t="shared" si="17"/>
        <v>0</v>
      </c>
      <c r="G106" s="180">
        <f t="shared" si="17"/>
        <v>0</v>
      </c>
      <c r="H106" s="180">
        <f t="shared" si="17"/>
        <v>0</v>
      </c>
      <c r="J106" s="149"/>
      <c r="K106" s="149"/>
      <c r="L106" s="149"/>
    </row>
    <row r="107" spans="1:12" hidden="1" x14ac:dyDescent="0.25">
      <c r="A107" s="109">
        <f t="shared" si="15"/>
        <v>0</v>
      </c>
      <c r="B107" s="180">
        <f t="shared" si="17"/>
        <v>0</v>
      </c>
      <c r="C107" s="180">
        <f t="shared" si="17"/>
        <v>0</v>
      </c>
      <c r="D107" s="180">
        <f t="shared" si="17"/>
        <v>0</v>
      </c>
      <c r="E107" s="180">
        <f t="shared" si="17"/>
        <v>0</v>
      </c>
      <c r="F107" s="180">
        <f t="shared" si="17"/>
        <v>0</v>
      </c>
      <c r="G107" s="180">
        <f t="shared" si="17"/>
        <v>0</v>
      </c>
      <c r="H107" s="180">
        <f t="shared" si="17"/>
        <v>0</v>
      </c>
      <c r="J107" s="149"/>
      <c r="K107" s="149"/>
      <c r="L107" s="149"/>
    </row>
    <row r="108" spans="1:12" hidden="1" x14ac:dyDescent="0.25">
      <c r="A108" s="109">
        <f t="shared" si="15"/>
        <v>0</v>
      </c>
      <c r="B108" s="180">
        <f t="shared" si="17"/>
        <v>0</v>
      </c>
      <c r="C108" s="180">
        <f t="shared" si="17"/>
        <v>0</v>
      </c>
      <c r="D108" s="180">
        <f t="shared" si="17"/>
        <v>0</v>
      </c>
      <c r="E108" s="180">
        <f t="shared" si="17"/>
        <v>0</v>
      </c>
      <c r="F108" s="180">
        <f t="shared" si="17"/>
        <v>0</v>
      </c>
      <c r="G108" s="180">
        <f t="shared" si="17"/>
        <v>0</v>
      </c>
      <c r="H108" s="180">
        <f t="shared" si="17"/>
        <v>0</v>
      </c>
      <c r="J108" s="149"/>
      <c r="K108" s="149"/>
      <c r="L108" s="149"/>
    </row>
    <row r="109" spans="1:12" hidden="1" x14ac:dyDescent="0.25">
      <c r="A109" s="109">
        <f t="shared" si="15"/>
        <v>0</v>
      </c>
      <c r="B109" s="180">
        <f t="shared" si="17"/>
        <v>0</v>
      </c>
      <c r="C109" s="180">
        <f t="shared" si="17"/>
        <v>0</v>
      </c>
      <c r="D109" s="180">
        <f t="shared" si="17"/>
        <v>0</v>
      </c>
      <c r="E109" s="180">
        <f t="shared" si="17"/>
        <v>0</v>
      </c>
      <c r="F109" s="180">
        <f t="shared" si="17"/>
        <v>0</v>
      </c>
      <c r="G109" s="180">
        <f t="shared" si="17"/>
        <v>0</v>
      </c>
      <c r="H109" s="180">
        <f t="shared" si="17"/>
        <v>0</v>
      </c>
      <c r="J109" s="149"/>
      <c r="K109" s="149"/>
      <c r="L109" s="149"/>
    </row>
    <row r="110" spans="1:12" hidden="1" x14ac:dyDescent="0.25">
      <c r="A110" s="109">
        <f t="shared" si="15"/>
        <v>0</v>
      </c>
      <c r="B110" s="180"/>
      <c r="C110" s="180"/>
      <c r="D110" s="180"/>
      <c r="E110" s="180"/>
      <c r="F110" s="180"/>
      <c r="G110" s="180"/>
      <c r="H110" s="180"/>
      <c r="J110" s="149"/>
      <c r="K110" s="149"/>
      <c r="L110" s="149"/>
    </row>
    <row r="111" spans="1:12" hidden="1" x14ac:dyDescent="0.25">
      <c r="A111" s="109">
        <f t="shared" si="15"/>
        <v>0</v>
      </c>
      <c r="B111" s="180"/>
      <c r="C111" s="180"/>
      <c r="D111" s="180"/>
      <c r="E111" s="180"/>
      <c r="F111" s="180"/>
      <c r="G111" s="180"/>
      <c r="H111" s="180"/>
      <c r="J111" s="149"/>
      <c r="K111" s="149"/>
      <c r="L111" s="149"/>
    </row>
    <row r="112" spans="1:12" hidden="1" x14ac:dyDescent="0.25">
      <c r="A112" s="109">
        <f t="shared" si="15"/>
        <v>0</v>
      </c>
      <c r="B112" s="180"/>
      <c r="C112" s="180"/>
      <c r="D112" s="180"/>
      <c r="E112" s="180"/>
      <c r="F112" s="180"/>
      <c r="G112" s="180"/>
      <c r="H112" s="180"/>
      <c r="J112" s="149"/>
      <c r="K112" s="149"/>
      <c r="L112" s="149"/>
    </row>
    <row r="113" spans="1:12" hidden="1" x14ac:dyDescent="0.25">
      <c r="A113" s="109" t="str">
        <f t="shared" si="15"/>
        <v>Pomegranate</v>
      </c>
      <c r="B113" s="180">
        <f t="shared" ref="B113:H116" si="18">B56</f>
        <v>0</v>
      </c>
      <c r="C113" s="180">
        <f t="shared" si="18"/>
        <v>0</v>
      </c>
      <c r="D113" s="180">
        <f t="shared" si="18"/>
        <v>0</v>
      </c>
      <c r="E113" s="180">
        <f t="shared" si="18"/>
        <v>0</v>
      </c>
      <c r="F113" s="180">
        <f t="shared" si="18"/>
        <v>0</v>
      </c>
      <c r="G113" s="180">
        <f t="shared" si="18"/>
        <v>0</v>
      </c>
      <c r="H113" s="180">
        <f t="shared" si="18"/>
        <v>0</v>
      </c>
      <c r="J113" s="149"/>
      <c r="K113" s="149"/>
      <c r="L113" s="149"/>
    </row>
    <row r="114" spans="1:12" hidden="1" x14ac:dyDescent="0.25">
      <c r="A114" s="109" t="str">
        <f t="shared" si="15"/>
        <v>Custard Apple</v>
      </c>
      <c r="B114" s="180">
        <f t="shared" si="18"/>
        <v>0</v>
      </c>
      <c r="C114" s="180">
        <f t="shared" si="18"/>
        <v>0</v>
      </c>
      <c r="D114" s="180">
        <f t="shared" si="18"/>
        <v>0</v>
      </c>
      <c r="E114" s="180">
        <f t="shared" si="18"/>
        <v>0</v>
      </c>
      <c r="F114" s="180">
        <f t="shared" si="18"/>
        <v>0</v>
      </c>
      <c r="G114" s="180">
        <f t="shared" si="18"/>
        <v>0</v>
      </c>
      <c r="H114" s="180">
        <f t="shared" si="18"/>
        <v>0</v>
      </c>
      <c r="J114" s="149"/>
      <c r="K114" s="149"/>
      <c r="L114" s="149"/>
    </row>
    <row r="115" spans="1:12" hidden="1" x14ac:dyDescent="0.25">
      <c r="A115" s="109" t="str">
        <f t="shared" si="15"/>
        <v>Guava</v>
      </c>
      <c r="B115" s="180">
        <f t="shared" si="18"/>
        <v>0</v>
      </c>
      <c r="C115" s="180">
        <f t="shared" si="18"/>
        <v>0</v>
      </c>
      <c r="D115" s="180">
        <f t="shared" si="18"/>
        <v>0</v>
      </c>
      <c r="E115" s="180">
        <f t="shared" si="18"/>
        <v>0</v>
      </c>
      <c r="F115" s="180">
        <f t="shared" si="18"/>
        <v>0</v>
      </c>
      <c r="G115" s="180">
        <f t="shared" si="18"/>
        <v>0</v>
      </c>
      <c r="H115" s="180">
        <f t="shared" si="18"/>
        <v>0</v>
      </c>
      <c r="J115" s="149"/>
      <c r="K115" s="149"/>
      <c r="L115" s="149"/>
    </row>
    <row r="116" spans="1:12" hidden="1" x14ac:dyDescent="0.25">
      <c r="A116" s="109" t="str">
        <f t="shared" si="15"/>
        <v>Citrus</v>
      </c>
      <c r="B116" s="180">
        <f t="shared" si="18"/>
        <v>0</v>
      </c>
      <c r="C116" s="180">
        <f t="shared" si="18"/>
        <v>0</v>
      </c>
      <c r="D116" s="180">
        <f t="shared" si="18"/>
        <v>0</v>
      </c>
      <c r="E116" s="180">
        <f t="shared" si="18"/>
        <v>0</v>
      </c>
      <c r="F116" s="180">
        <f t="shared" si="18"/>
        <v>0</v>
      </c>
      <c r="G116" s="180">
        <f t="shared" si="18"/>
        <v>0</v>
      </c>
      <c r="H116" s="180">
        <f t="shared" si="18"/>
        <v>0</v>
      </c>
      <c r="J116" s="149"/>
      <c r="K116" s="149"/>
      <c r="L116" s="149"/>
    </row>
    <row r="117" spans="1:12" hidden="1" x14ac:dyDescent="0.25">
      <c r="A117" s="109"/>
      <c r="B117" s="180"/>
      <c r="C117" s="180"/>
      <c r="D117" s="180"/>
      <c r="E117" s="180"/>
      <c r="F117" s="180"/>
      <c r="G117" s="180"/>
      <c r="H117" s="180"/>
      <c r="J117" s="149"/>
      <c r="K117" s="149"/>
      <c r="L117" s="149"/>
    </row>
    <row r="118" spans="1:12" hidden="1" x14ac:dyDescent="0.25">
      <c r="A118" s="109"/>
      <c r="B118" s="180"/>
      <c r="C118" s="180"/>
      <c r="D118" s="180"/>
      <c r="E118" s="180"/>
      <c r="F118" s="180"/>
      <c r="G118" s="180"/>
      <c r="H118" s="180"/>
      <c r="J118" s="149"/>
      <c r="K118" s="149"/>
      <c r="L118" s="149"/>
    </row>
    <row r="119" spans="1:12" x14ac:dyDescent="0.25">
      <c r="A119" s="114" t="s">
        <v>138</v>
      </c>
      <c r="B119" s="109"/>
      <c r="C119" s="109"/>
      <c r="D119" s="109"/>
      <c r="E119" s="109"/>
      <c r="F119" s="109"/>
      <c r="G119" s="109"/>
      <c r="H119" s="109"/>
    </row>
    <row r="120" spans="1:12" x14ac:dyDescent="0.25">
      <c r="A120" s="133" t="str">
        <f t="shared" ref="A120:A141" si="19">A68</f>
        <v>Soybean</v>
      </c>
      <c r="B120" s="423">
        <f t="shared" ref="B120:H129" si="20">B68-(B68*$G$6)</f>
        <v>3387.9383999999995</v>
      </c>
      <c r="C120" s="423">
        <f t="shared" si="20"/>
        <v>3726.7322399999989</v>
      </c>
      <c r="D120" s="423">
        <f t="shared" si="20"/>
        <v>3952.5947999999994</v>
      </c>
      <c r="E120" s="423">
        <f t="shared" si="20"/>
        <v>4178.4573599999994</v>
      </c>
      <c r="F120" s="423">
        <f t="shared" si="20"/>
        <v>4404.319919999999</v>
      </c>
      <c r="G120" s="423">
        <f t="shared" si="20"/>
        <v>4630.1824800000004</v>
      </c>
      <c r="H120" s="423">
        <f t="shared" si="20"/>
        <v>4856.04504</v>
      </c>
    </row>
    <row r="121" spans="1:12" x14ac:dyDescent="0.25">
      <c r="A121" s="133" t="str">
        <f t="shared" si="19"/>
        <v>Red Gram/Tur</v>
      </c>
      <c r="B121" s="423">
        <f t="shared" si="20"/>
        <v>2687.2703896499988</v>
      </c>
      <c r="C121" s="423">
        <f t="shared" si="20"/>
        <v>2955.9974286149991</v>
      </c>
      <c r="D121" s="423">
        <f t="shared" si="20"/>
        <v>3135.1487879249994</v>
      </c>
      <c r="E121" s="423">
        <f t="shared" si="20"/>
        <v>3314.3001472349993</v>
      </c>
      <c r="F121" s="423">
        <f t="shared" si="20"/>
        <v>3493.4515065449996</v>
      </c>
      <c r="G121" s="423">
        <f t="shared" si="20"/>
        <v>3672.6028658549994</v>
      </c>
      <c r="H121" s="423">
        <f t="shared" si="20"/>
        <v>3851.7542251649993</v>
      </c>
    </row>
    <row r="122" spans="1:12" hidden="1" x14ac:dyDescent="0.25">
      <c r="A122" s="133" t="str">
        <f t="shared" si="19"/>
        <v>Paddy/Rice</v>
      </c>
      <c r="B122" s="423">
        <f t="shared" si="20"/>
        <v>0</v>
      </c>
      <c r="C122" s="423">
        <f t="shared" si="20"/>
        <v>0</v>
      </c>
      <c r="D122" s="423">
        <f t="shared" si="20"/>
        <v>0</v>
      </c>
      <c r="E122" s="423">
        <f t="shared" si="20"/>
        <v>0</v>
      </c>
      <c r="F122" s="423">
        <f t="shared" si="20"/>
        <v>0</v>
      </c>
      <c r="G122" s="423">
        <f t="shared" si="20"/>
        <v>0</v>
      </c>
      <c r="H122" s="423">
        <f t="shared" si="20"/>
        <v>0</v>
      </c>
    </row>
    <row r="123" spans="1:12" x14ac:dyDescent="0.25">
      <c r="A123" s="133" t="str">
        <f t="shared" si="19"/>
        <v>Green Gram/ Moong</v>
      </c>
      <c r="B123" s="423">
        <f t="shared" si="20"/>
        <v>726.28929449999998</v>
      </c>
      <c r="C123" s="423">
        <f t="shared" si="20"/>
        <v>798.91822394999986</v>
      </c>
      <c r="D123" s="423">
        <f t="shared" si="20"/>
        <v>847.33751024999981</v>
      </c>
      <c r="E123" s="423">
        <f t="shared" si="20"/>
        <v>895.75679654999999</v>
      </c>
      <c r="F123" s="423">
        <f t="shared" si="20"/>
        <v>944.17608285000006</v>
      </c>
      <c r="G123" s="423">
        <f t="shared" si="20"/>
        <v>992.59536915000001</v>
      </c>
      <c r="H123" s="423">
        <f t="shared" si="20"/>
        <v>1041.0146554500002</v>
      </c>
    </row>
    <row r="124" spans="1:12" hidden="1" x14ac:dyDescent="0.25">
      <c r="A124" s="133" t="str">
        <f t="shared" si="19"/>
        <v>Maize</v>
      </c>
      <c r="B124" s="423">
        <f t="shared" si="20"/>
        <v>0</v>
      </c>
      <c r="C124" s="423">
        <f t="shared" si="20"/>
        <v>0</v>
      </c>
      <c r="D124" s="423">
        <f t="shared" si="20"/>
        <v>0</v>
      </c>
      <c r="E124" s="423">
        <f t="shared" si="20"/>
        <v>0</v>
      </c>
      <c r="F124" s="423">
        <f t="shared" si="20"/>
        <v>0</v>
      </c>
      <c r="G124" s="423">
        <f t="shared" si="20"/>
        <v>0</v>
      </c>
      <c r="H124" s="423">
        <f t="shared" si="20"/>
        <v>0</v>
      </c>
    </row>
    <row r="125" spans="1:12" hidden="1" x14ac:dyDescent="0.25">
      <c r="A125" s="133" t="str">
        <f t="shared" si="19"/>
        <v>Black Gram/Udid</v>
      </c>
      <c r="B125" s="423">
        <f t="shared" si="20"/>
        <v>0</v>
      </c>
      <c r="C125" s="423">
        <f t="shared" si="20"/>
        <v>0</v>
      </c>
      <c r="D125" s="423">
        <f t="shared" si="20"/>
        <v>0</v>
      </c>
      <c r="E125" s="423">
        <f t="shared" si="20"/>
        <v>0</v>
      </c>
      <c r="F125" s="423">
        <f t="shared" si="20"/>
        <v>0</v>
      </c>
      <c r="G125" s="423">
        <f t="shared" si="20"/>
        <v>0</v>
      </c>
      <c r="H125" s="423">
        <f t="shared" si="20"/>
        <v>0</v>
      </c>
    </row>
    <row r="126" spans="1:12" hidden="1" x14ac:dyDescent="0.25">
      <c r="A126" s="133" t="str">
        <f t="shared" si="19"/>
        <v>Bajra</v>
      </c>
      <c r="B126" s="423">
        <f t="shared" si="20"/>
        <v>0</v>
      </c>
      <c r="C126" s="423">
        <f t="shared" si="20"/>
        <v>0</v>
      </c>
      <c r="D126" s="423">
        <f t="shared" si="20"/>
        <v>0</v>
      </c>
      <c r="E126" s="423">
        <f t="shared" si="20"/>
        <v>0</v>
      </c>
      <c r="F126" s="423">
        <f t="shared" si="20"/>
        <v>0</v>
      </c>
      <c r="G126" s="423">
        <f t="shared" si="20"/>
        <v>0</v>
      </c>
      <c r="H126" s="423">
        <f t="shared" si="20"/>
        <v>0</v>
      </c>
    </row>
    <row r="127" spans="1:12" hidden="1" x14ac:dyDescent="0.25">
      <c r="A127" s="133" t="str">
        <f t="shared" si="19"/>
        <v>Jawar</v>
      </c>
      <c r="B127" s="423">
        <f t="shared" si="20"/>
        <v>0</v>
      </c>
      <c r="C127" s="423">
        <f t="shared" si="20"/>
        <v>0</v>
      </c>
      <c r="D127" s="423">
        <f t="shared" si="20"/>
        <v>0</v>
      </c>
      <c r="E127" s="423">
        <f t="shared" si="20"/>
        <v>0</v>
      </c>
      <c r="F127" s="423">
        <f t="shared" si="20"/>
        <v>0</v>
      </c>
      <c r="G127" s="423">
        <f t="shared" si="20"/>
        <v>0</v>
      </c>
      <c r="H127" s="423">
        <f t="shared" si="20"/>
        <v>0</v>
      </c>
    </row>
    <row r="128" spans="1:12" hidden="1" x14ac:dyDescent="0.25">
      <c r="A128" s="133" t="str">
        <f t="shared" si="19"/>
        <v>Sunflower</v>
      </c>
      <c r="B128" s="423">
        <f t="shared" si="20"/>
        <v>0</v>
      </c>
      <c r="C128" s="423">
        <f t="shared" si="20"/>
        <v>0</v>
      </c>
      <c r="D128" s="423">
        <f t="shared" si="20"/>
        <v>0</v>
      </c>
      <c r="E128" s="423">
        <f t="shared" si="20"/>
        <v>0</v>
      </c>
      <c r="F128" s="423">
        <f t="shared" si="20"/>
        <v>0</v>
      </c>
      <c r="G128" s="423">
        <f t="shared" si="20"/>
        <v>0</v>
      </c>
      <c r="H128" s="423">
        <f t="shared" si="20"/>
        <v>0</v>
      </c>
    </row>
    <row r="129" spans="1:8" hidden="1" x14ac:dyDescent="0.25">
      <c r="A129" s="133" t="str">
        <f t="shared" si="19"/>
        <v>Wheat</v>
      </c>
      <c r="B129" s="423">
        <f t="shared" si="20"/>
        <v>0</v>
      </c>
      <c r="C129" s="423">
        <f t="shared" si="20"/>
        <v>0</v>
      </c>
      <c r="D129" s="423">
        <f t="shared" si="20"/>
        <v>0</v>
      </c>
      <c r="E129" s="423">
        <f t="shared" si="20"/>
        <v>0</v>
      </c>
      <c r="F129" s="423">
        <f t="shared" si="20"/>
        <v>0</v>
      </c>
      <c r="G129" s="423">
        <f t="shared" si="20"/>
        <v>0</v>
      </c>
      <c r="H129" s="423">
        <f t="shared" si="20"/>
        <v>0</v>
      </c>
    </row>
    <row r="130" spans="1:8" x14ac:dyDescent="0.25">
      <c r="A130" s="133" t="str">
        <f t="shared" si="19"/>
        <v>Bengal Gram/Channa</v>
      </c>
      <c r="B130" s="423">
        <f t="shared" ref="B130:H139" si="21">B78-(B78*$G$6)</f>
        <v>2534.6014154999998</v>
      </c>
      <c r="C130" s="423">
        <f t="shared" si="21"/>
        <v>2788.0615570499995</v>
      </c>
      <c r="D130" s="423">
        <f t="shared" si="21"/>
        <v>2957.0349847499997</v>
      </c>
      <c r="E130" s="423">
        <f t="shared" si="21"/>
        <v>3126.0084124499999</v>
      </c>
      <c r="F130" s="423">
        <f t="shared" si="21"/>
        <v>3294.9818401500002</v>
      </c>
      <c r="G130" s="423">
        <f t="shared" si="21"/>
        <v>3463.9552678499999</v>
      </c>
      <c r="H130" s="423">
        <f t="shared" si="21"/>
        <v>3632.9286955500002</v>
      </c>
    </row>
    <row r="131" spans="1:8" hidden="1" x14ac:dyDescent="0.25">
      <c r="A131" s="133" t="str">
        <f t="shared" si="19"/>
        <v>Jawar</v>
      </c>
      <c r="B131" s="175">
        <f t="shared" si="21"/>
        <v>0</v>
      </c>
      <c r="C131" s="175">
        <f t="shared" si="21"/>
        <v>0</v>
      </c>
      <c r="D131" s="175">
        <f t="shared" si="21"/>
        <v>0</v>
      </c>
      <c r="E131" s="175">
        <f t="shared" si="21"/>
        <v>0</v>
      </c>
      <c r="F131" s="175">
        <f t="shared" si="21"/>
        <v>0</v>
      </c>
      <c r="G131" s="175">
        <f t="shared" si="21"/>
        <v>0</v>
      </c>
      <c r="H131" s="175">
        <f t="shared" si="21"/>
        <v>0</v>
      </c>
    </row>
    <row r="132" spans="1:8" hidden="1" x14ac:dyDescent="0.25">
      <c r="A132" s="133" t="str">
        <f t="shared" si="19"/>
        <v>Maize</v>
      </c>
      <c r="B132" s="175">
        <f t="shared" si="21"/>
        <v>0</v>
      </c>
      <c r="C132" s="175">
        <f t="shared" si="21"/>
        <v>0</v>
      </c>
      <c r="D132" s="175">
        <f t="shared" si="21"/>
        <v>0</v>
      </c>
      <c r="E132" s="175">
        <f t="shared" si="21"/>
        <v>0</v>
      </c>
      <c r="F132" s="175">
        <f t="shared" si="21"/>
        <v>0</v>
      </c>
      <c r="G132" s="175">
        <f t="shared" si="21"/>
        <v>0</v>
      </c>
      <c r="H132" s="175">
        <f t="shared" si="21"/>
        <v>0</v>
      </c>
    </row>
    <row r="133" spans="1:8" hidden="1" x14ac:dyDescent="0.25">
      <c r="A133" s="133" t="str">
        <f t="shared" si="19"/>
        <v>Safflower</v>
      </c>
      <c r="B133" s="175">
        <f t="shared" si="21"/>
        <v>0</v>
      </c>
      <c r="C133" s="175">
        <f t="shared" si="21"/>
        <v>0</v>
      </c>
      <c r="D133" s="175">
        <f t="shared" si="21"/>
        <v>0</v>
      </c>
      <c r="E133" s="175">
        <f t="shared" si="21"/>
        <v>0</v>
      </c>
      <c r="F133" s="175">
        <f t="shared" si="21"/>
        <v>0</v>
      </c>
      <c r="G133" s="175">
        <f t="shared" si="21"/>
        <v>0</v>
      </c>
      <c r="H133" s="175">
        <f t="shared" si="21"/>
        <v>0</v>
      </c>
    </row>
    <row r="134" spans="1:8" hidden="1" x14ac:dyDescent="0.25">
      <c r="A134" s="133">
        <f t="shared" si="19"/>
        <v>0</v>
      </c>
      <c r="B134" s="175">
        <f t="shared" si="21"/>
        <v>0</v>
      </c>
      <c r="C134" s="175">
        <f t="shared" si="21"/>
        <v>0</v>
      </c>
      <c r="D134" s="175">
        <f t="shared" si="21"/>
        <v>0</v>
      </c>
      <c r="E134" s="175">
        <f t="shared" si="21"/>
        <v>0</v>
      </c>
      <c r="F134" s="175">
        <f t="shared" si="21"/>
        <v>0</v>
      </c>
      <c r="G134" s="175">
        <f t="shared" si="21"/>
        <v>0</v>
      </c>
      <c r="H134" s="175">
        <f t="shared" si="21"/>
        <v>0</v>
      </c>
    </row>
    <row r="135" spans="1:8" hidden="1" x14ac:dyDescent="0.25">
      <c r="A135" s="133">
        <f t="shared" si="19"/>
        <v>0</v>
      </c>
      <c r="B135" s="175">
        <f t="shared" si="21"/>
        <v>0</v>
      </c>
      <c r="C135" s="175">
        <f t="shared" si="21"/>
        <v>0</v>
      </c>
      <c r="D135" s="175">
        <f t="shared" si="21"/>
        <v>0</v>
      </c>
      <c r="E135" s="175">
        <f t="shared" si="21"/>
        <v>0</v>
      </c>
      <c r="F135" s="175">
        <f t="shared" si="21"/>
        <v>0</v>
      </c>
      <c r="G135" s="175">
        <f t="shared" si="21"/>
        <v>0</v>
      </c>
      <c r="H135" s="175">
        <f t="shared" si="21"/>
        <v>0</v>
      </c>
    </row>
    <row r="136" spans="1:8" hidden="1" x14ac:dyDescent="0.25">
      <c r="A136" s="133">
        <f t="shared" si="19"/>
        <v>0</v>
      </c>
      <c r="B136" s="175">
        <f t="shared" si="21"/>
        <v>0</v>
      </c>
      <c r="C136" s="175">
        <f t="shared" si="21"/>
        <v>0</v>
      </c>
      <c r="D136" s="175">
        <f t="shared" si="21"/>
        <v>0</v>
      </c>
      <c r="E136" s="175">
        <f t="shared" si="21"/>
        <v>0</v>
      </c>
      <c r="F136" s="175">
        <f t="shared" si="21"/>
        <v>0</v>
      </c>
      <c r="G136" s="175">
        <f t="shared" si="21"/>
        <v>0</v>
      </c>
      <c r="H136" s="175">
        <f t="shared" si="21"/>
        <v>0</v>
      </c>
    </row>
    <row r="137" spans="1:8" hidden="1" x14ac:dyDescent="0.25">
      <c r="A137" s="133" t="str">
        <f t="shared" si="19"/>
        <v>Groundnut</v>
      </c>
      <c r="B137" s="175">
        <f t="shared" si="21"/>
        <v>0</v>
      </c>
      <c r="C137" s="175">
        <f t="shared" si="21"/>
        <v>0</v>
      </c>
      <c r="D137" s="175">
        <f t="shared" si="21"/>
        <v>0</v>
      </c>
      <c r="E137" s="175">
        <f t="shared" si="21"/>
        <v>0</v>
      </c>
      <c r="F137" s="175">
        <f t="shared" si="21"/>
        <v>0</v>
      </c>
      <c r="G137" s="175">
        <f t="shared" si="21"/>
        <v>0</v>
      </c>
      <c r="H137" s="175">
        <f t="shared" si="21"/>
        <v>0</v>
      </c>
    </row>
    <row r="138" spans="1:8" hidden="1" x14ac:dyDescent="0.25">
      <c r="A138" s="133">
        <f t="shared" si="19"/>
        <v>0</v>
      </c>
      <c r="B138" s="175">
        <f t="shared" si="21"/>
        <v>0</v>
      </c>
      <c r="C138" s="175">
        <f t="shared" si="21"/>
        <v>0</v>
      </c>
      <c r="D138" s="175">
        <f t="shared" si="21"/>
        <v>0</v>
      </c>
      <c r="E138" s="175">
        <f t="shared" si="21"/>
        <v>0</v>
      </c>
      <c r="F138" s="175">
        <f t="shared" si="21"/>
        <v>0</v>
      </c>
      <c r="G138" s="175">
        <f t="shared" si="21"/>
        <v>0</v>
      </c>
      <c r="H138" s="175">
        <f t="shared" si="21"/>
        <v>0</v>
      </c>
    </row>
    <row r="139" spans="1:8" hidden="1" x14ac:dyDescent="0.25">
      <c r="A139" s="133">
        <f t="shared" si="19"/>
        <v>0</v>
      </c>
      <c r="B139" s="175">
        <f t="shared" si="21"/>
        <v>0</v>
      </c>
      <c r="C139" s="175">
        <f t="shared" si="21"/>
        <v>0</v>
      </c>
      <c r="D139" s="175">
        <f t="shared" si="21"/>
        <v>0</v>
      </c>
      <c r="E139" s="175">
        <f t="shared" si="21"/>
        <v>0</v>
      </c>
      <c r="F139" s="175">
        <f t="shared" si="21"/>
        <v>0</v>
      </c>
      <c r="G139" s="175">
        <f t="shared" si="21"/>
        <v>0</v>
      </c>
      <c r="H139" s="175">
        <f t="shared" si="21"/>
        <v>0</v>
      </c>
    </row>
    <row r="140" spans="1:8" hidden="1" x14ac:dyDescent="0.25">
      <c r="A140" s="133">
        <f t="shared" si="19"/>
        <v>0</v>
      </c>
      <c r="B140" s="175">
        <f t="shared" ref="B140:H141" si="22">B88-(B88*$G$6)</f>
        <v>0</v>
      </c>
      <c r="C140" s="175">
        <f t="shared" si="22"/>
        <v>0</v>
      </c>
      <c r="D140" s="175">
        <f t="shared" si="22"/>
        <v>0</v>
      </c>
      <c r="E140" s="175">
        <f t="shared" si="22"/>
        <v>0</v>
      </c>
      <c r="F140" s="175">
        <f t="shared" si="22"/>
        <v>0</v>
      </c>
      <c r="G140" s="175">
        <f t="shared" si="22"/>
        <v>0</v>
      </c>
      <c r="H140" s="175">
        <f t="shared" si="22"/>
        <v>0</v>
      </c>
    </row>
    <row r="141" spans="1:8" hidden="1" x14ac:dyDescent="0.25">
      <c r="A141" s="133">
        <f t="shared" si="19"/>
        <v>0</v>
      </c>
      <c r="B141" s="175">
        <f t="shared" si="22"/>
        <v>0</v>
      </c>
      <c r="C141" s="175">
        <f t="shared" si="22"/>
        <v>0</v>
      </c>
      <c r="D141" s="175">
        <f t="shared" si="22"/>
        <v>0</v>
      </c>
      <c r="E141" s="175">
        <f t="shared" si="22"/>
        <v>0</v>
      </c>
      <c r="F141" s="175">
        <f t="shared" si="22"/>
        <v>0</v>
      </c>
      <c r="G141" s="175">
        <f t="shared" si="22"/>
        <v>0</v>
      </c>
      <c r="H141" s="175">
        <f t="shared" si="22"/>
        <v>0</v>
      </c>
    </row>
    <row r="142" spans="1:8" hidden="1" x14ac:dyDescent="0.25">
      <c r="A142" s="133"/>
      <c r="B142" s="175"/>
      <c r="C142" s="175"/>
      <c r="D142" s="175"/>
      <c r="E142" s="175"/>
      <c r="F142" s="175"/>
      <c r="G142" s="175"/>
      <c r="H142" s="175"/>
    </row>
    <row r="143" spans="1:8" hidden="1" x14ac:dyDescent="0.25">
      <c r="A143" s="114" t="str">
        <f t="shared" ref="A143:A168" si="23">A91</f>
        <v>Fruit  &amp; Vegetables Crop Production Details</v>
      </c>
      <c r="B143" s="175"/>
      <c r="C143" s="175"/>
      <c r="D143" s="175"/>
      <c r="E143" s="175"/>
      <c r="F143" s="175"/>
      <c r="G143" s="175"/>
      <c r="H143" s="175"/>
    </row>
    <row r="144" spans="1:8" hidden="1" x14ac:dyDescent="0.25">
      <c r="A144" s="133" t="str">
        <f t="shared" si="23"/>
        <v>Onion</v>
      </c>
      <c r="B144" s="175">
        <f t="shared" ref="B144:H153" si="24">B92-(B92*$G$7)</f>
        <v>0</v>
      </c>
      <c r="C144" s="175">
        <f t="shared" si="24"/>
        <v>0</v>
      </c>
      <c r="D144" s="175">
        <f t="shared" si="24"/>
        <v>0</v>
      </c>
      <c r="E144" s="175">
        <f t="shared" si="24"/>
        <v>0</v>
      </c>
      <c r="F144" s="175">
        <f t="shared" si="24"/>
        <v>0</v>
      </c>
      <c r="G144" s="175">
        <f t="shared" si="24"/>
        <v>0</v>
      </c>
      <c r="H144" s="175">
        <f t="shared" si="24"/>
        <v>0</v>
      </c>
    </row>
    <row r="145" spans="1:8" hidden="1" x14ac:dyDescent="0.25">
      <c r="A145" s="133" t="str">
        <f t="shared" si="23"/>
        <v>Tomato</v>
      </c>
      <c r="B145" s="175">
        <f t="shared" si="24"/>
        <v>0</v>
      </c>
      <c r="C145" s="175">
        <f t="shared" si="24"/>
        <v>0</v>
      </c>
      <c r="D145" s="175">
        <f t="shared" si="24"/>
        <v>0</v>
      </c>
      <c r="E145" s="175">
        <f t="shared" si="24"/>
        <v>0</v>
      </c>
      <c r="F145" s="175">
        <f t="shared" si="24"/>
        <v>0</v>
      </c>
      <c r="G145" s="175">
        <f t="shared" si="24"/>
        <v>0</v>
      </c>
      <c r="H145" s="175">
        <f t="shared" si="24"/>
        <v>0</v>
      </c>
    </row>
    <row r="146" spans="1:8" hidden="1" x14ac:dyDescent="0.25">
      <c r="A146" s="133" t="str">
        <f t="shared" si="23"/>
        <v>Okra</v>
      </c>
      <c r="B146" s="175">
        <f t="shared" si="24"/>
        <v>0</v>
      </c>
      <c r="C146" s="175">
        <f t="shared" si="24"/>
        <v>0</v>
      </c>
      <c r="D146" s="175">
        <f t="shared" si="24"/>
        <v>0</v>
      </c>
      <c r="E146" s="175">
        <f t="shared" si="24"/>
        <v>0</v>
      </c>
      <c r="F146" s="175">
        <f t="shared" si="24"/>
        <v>0</v>
      </c>
      <c r="G146" s="175">
        <f t="shared" si="24"/>
        <v>0</v>
      </c>
      <c r="H146" s="175">
        <f t="shared" si="24"/>
        <v>0</v>
      </c>
    </row>
    <row r="147" spans="1:8" hidden="1" x14ac:dyDescent="0.25">
      <c r="A147" s="133" t="str">
        <f t="shared" si="23"/>
        <v>Chilli</v>
      </c>
      <c r="B147" s="175">
        <f t="shared" si="24"/>
        <v>0</v>
      </c>
      <c r="C147" s="175">
        <f t="shared" si="24"/>
        <v>0</v>
      </c>
      <c r="D147" s="175">
        <f t="shared" si="24"/>
        <v>0</v>
      </c>
      <c r="E147" s="175">
        <f t="shared" si="24"/>
        <v>0</v>
      </c>
      <c r="F147" s="175">
        <f t="shared" si="24"/>
        <v>0</v>
      </c>
      <c r="G147" s="175">
        <f t="shared" si="24"/>
        <v>0</v>
      </c>
      <c r="H147" s="175">
        <f t="shared" si="24"/>
        <v>0</v>
      </c>
    </row>
    <row r="148" spans="1:8" hidden="1" x14ac:dyDescent="0.25">
      <c r="A148" s="133" t="str">
        <f t="shared" si="23"/>
        <v>Potato</v>
      </c>
      <c r="B148" s="175">
        <f t="shared" si="24"/>
        <v>0</v>
      </c>
      <c r="C148" s="175">
        <f t="shared" si="24"/>
        <v>0</v>
      </c>
      <c r="D148" s="175">
        <f t="shared" si="24"/>
        <v>0</v>
      </c>
      <c r="E148" s="175">
        <f t="shared" si="24"/>
        <v>0</v>
      </c>
      <c r="F148" s="175">
        <f t="shared" si="24"/>
        <v>0</v>
      </c>
      <c r="G148" s="175">
        <f t="shared" si="24"/>
        <v>0</v>
      </c>
      <c r="H148" s="175">
        <f t="shared" si="24"/>
        <v>0</v>
      </c>
    </row>
    <row r="149" spans="1:8" hidden="1" x14ac:dyDescent="0.25">
      <c r="A149" s="133">
        <f t="shared" si="23"/>
        <v>0</v>
      </c>
      <c r="B149" s="175">
        <f t="shared" si="24"/>
        <v>0</v>
      </c>
      <c r="C149" s="175">
        <f t="shared" si="24"/>
        <v>0</v>
      </c>
      <c r="D149" s="175">
        <f t="shared" si="24"/>
        <v>0</v>
      </c>
      <c r="E149" s="175">
        <f t="shared" si="24"/>
        <v>0</v>
      </c>
      <c r="F149" s="175">
        <f t="shared" si="24"/>
        <v>0</v>
      </c>
      <c r="G149" s="175">
        <f t="shared" si="24"/>
        <v>0</v>
      </c>
      <c r="H149" s="175">
        <f t="shared" si="24"/>
        <v>0</v>
      </c>
    </row>
    <row r="150" spans="1:8" hidden="1" x14ac:dyDescent="0.25">
      <c r="A150" s="133">
        <f t="shared" si="23"/>
        <v>0</v>
      </c>
      <c r="B150" s="175">
        <f t="shared" si="24"/>
        <v>0</v>
      </c>
      <c r="C150" s="175">
        <f t="shared" si="24"/>
        <v>0</v>
      </c>
      <c r="D150" s="175">
        <f t="shared" si="24"/>
        <v>0</v>
      </c>
      <c r="E150" s="175">
        <f t="shared" si="24"/>
        <v>0</v>
      </c>
      <c r="F150" s="175">
        <f t="shared" si="24"/>
        <v>0</v>
      </c>
      <c r="G150" s="175">
        <f t="shared" si="24"/>
        <v>0</v>
      </c>
      <c r="H150" s="175">
        <f t="shared" si="24"/>
        <v>0</v>
      </c>
    </row>
    <row r="151" spans="1:8" hidden="1" x14ac:dyDescent="0.25">
      <c r="A151" s="133">
        <f t="shared" si="23"/>
        <v>0</v>
      </c>
      <c r="B151" s="175">
        <f t="shared" si="24"/>
        <v>0</v>
      </c>
      <c r="C151" s="175">
        <f t="shared" si="24"/>
        <v>0</v>
      </c>
      <c r="D151" s="175">
        <f t="shared" si="24"/>
        <v>0</v>
      </c>
      <c r="E151" s="175">
        <f t="shared" si="24"/>
        <v>0</v>
      </c>
      <c r="F151" s="175">
        <f t="shared" si="24"/>
        <v>0</v>
      </c>
      <c r="G151" s="175">
        <f t="shared" si="24"/>
        <v>0</v>
      </c>
      <c r="H151" s="175">
        <f t="shared" si="24"/>
        <v>0</v>
      </c>
    </row>
    <row r="152" spans="1:8" hidden="1" x14ac:dyDescent="0.25">
      <c r="A152" s="133">
        <f t="shared" si="23"/>
        <v>0</v>
      </c>
      <c r="B152" s="175">
        <f t="shared" si="24"/>
        <v>0</v>
      </c>
      <c r="C152" s="175">
        <f t="shared" si="24"/>
        <v>0</v>
      </c>
      <c r="D152" s="175">
        <f t="shared" si="24"/>
        <v>0</v>
      </c>
      <c r="E152" s="175">
        <f t="shared" si="24"/>
        <v>0</v>
      </c>
      <c r="F152" s="175">
        <f t="shared" si="24"/>
        <v>0</v>
      </c>
      <c r="G152" s="175">
        <f t="shared" si="24"/>
        <v>0</v>
      </c>
      <c r="H152" s="175">
        <f t="shared" si="24"/>
        <v>0</v>
      </c>
    </row>
    <row r="153" spans="1:8" hidden="1" x14ac:dyDescent="0.25">
      <c r="A153" s="133" t="str">
        <f t="shared" si="23"/>
        <v>Onion</v>
      </c>
      <c r="B153" s="175">
        <f t="shared" si="24"/>
        <v>0</v>
      </c>
      <c r="C153" s="175">
        <f t="shared" si="24"/>
        <v>0</v>
      </c>
      <c r="D153" s="175">
        <f t="shared" si="24"/>
        <v>0</v>
      </c>
      <c r="E153" s="175">
        <f t="shared" si="24"/>
        <v>0</v>
      </c>
      <c r="F153" s="175">
        <f t="shared" si="24"/>
        <v>0</v>
      </c>
      <c r="G153" s="175">
        <f t="shared" si="24"/>
        <v>0</v>
      </c>
      <c r="H153" s="175">
        <f t="shared" si="24"/>
        <v>0</v>
      </c>
    </row>
    <row r="154" spans="1:8" hidden="1" x14ac:dyDescent="0.25">
      <c r="A154" s="133" t="str">
        <f t="shared" si="23"/>
        <v>Tomato</v>
      </c>
      <c r="B154" s="175">
        <f t="shared" ref="B154:H163" si="25">B102-(B102*$G$7)</f>
        <v>0</v>
      </c>
      <c r="C154" s="175">
        <f t="shared" si="25"/>
        <v>0</v>
      </c>
      <c r="D154" s="175">
        <f t="shared" si="25"/>
        <v>0</v>
      </c>
      <c r="E154" s="175">
        <f t="shared" si="25"/>
        <v>0</v>
      </c>
      <c r="F154" s="175">
        <f t="shared" si="25"/>
        <v>0</v>
      </c>
      <c r="G154" s="175">
        <f t="shared" si="25"/>
        <v>0</v>
      </c>
      <c r="H154" s="175">
        <f t="shared" si="25"/>
        <v>0</v>
      </c>
    </row>
    <row r="155" spans="1:8" hidden="1" x14ac:dyDescent="0.25">
      <c r="A155" s="133" t="str">
        <f t="shared" si="23"/>
        <v>Okra</v>
      </c>
      <c r="B155" s="175">
        <f t="shared" si="25"/>
        <v>0</v>
      </c>
      <c r="C155" s="175">
        <f t="shared" si="25"/>
        <v>0</v>
      </c>
      <c r="D155" s="175">
        <f t="shared" si="25"/>
        <v>0</v>
      </c>
      <c r="E155" s="175">
        <f t="shared" si="25"/>
        <v>0</v>
      </c>
      <c r="F155" s="175">
        <f t="shared" si="25"/>
        <v>0</v>
      </c>
      <c r="G155" s="175">
        <f t="shared" si="25"/>
        <v>0</v>
      </c>
      <c r="H155" s="175">
        <f t="shared" si="25"/>
        <v>0</v>
      </c>
    </row>
    <row r="156" spans="1:8" hidden="1" x14ac:dyDescent="0.25">
      <c r="A156" s="133" t="str">
        <f t="shared" si="23"/>
        <v>Chilli</v>
      </c>
      <c r="B156" s="175">
        <f t="shared" si="25"/>
        <v>0</v>
      </c>
      <c r="C156" s="175">
        <f t="shared" si="25"/>
        <v>0</v>
      </c>
      <c r="D156" s="175">
        <f t="shared" si="25"/>
        <v>0</v>
      </c>
      <c r="E156" s="175">
        <f t="shared" si="25"/>
        <v>0</v>
      </c>
      <c r="F156" s="175">
        <f t="shared" si="25"/>
        <v>0</v>
      </c>
      <c r="G156" s="175">
        <f t="shared" si="25"/>
        <v>0</v>
      </c>
      <c r="H156" s="175">
        <f t="shared" si="25"/>
        <v>0</v>
      </c>
    </row>
    <row r="157" spans="1:8" hidden="1" x14ac:dyDescent="0.25">
      <c r="A157" s="133" t="str">
        <f t="shared" si="23"/>
        <v>Brinjal</v>
      </c>
      <c r="B157" s="175">
        <f t="shared" si="25"/>
        <v>0</v>
      </c>
      <c r="C157" s="175">
        <f t="shared" si="25"/>
        <v>0</v>
      </c>
      <c r="D157" s="175">
        <f t="shared" si="25"/>
        <v>0</v>
      </c>
      <c r="E157" s="175">
        <f t="shared" si="25"/>
        <v>0</v>
      </c>
      <c r="F157" s="175">
        <f t="shared" si="25"/>
        <v>0</v>
      </c>
      <c r="G157" s="175">
        <f t="shared" si="25"/>
        <v>0</v>
      </c>
      <c r="H157" s="175">
        <f t="shared" si="25"/>
        <v>0</v>
      </c>
    </row>
    <row r="158" spans="1:8" hidden="1" x14ac:dyDescent="0.25">
      <c r="A158" s="133">
        <f t="shared" si="23"/>
        <v>0</v>
      </c>
      <c r="B158" s="175">
        <f t="shared" si="25"/>
        <v>0</v>
      </c>
      <c r="C158" s="175">
        <f t="shared" si="25"/>
        <v>0</v>
      </c>
      <c r="D158" s="175">
        <f t="shared" si="25"/>
        <v>0</v>
      </c>
      <c r="E158" s="175">
        <f t="shared" si="25"/>
        <v>0</v>
      </c>
      <c r="F158" s="175">
        <f t="shared" si="25"/>
        <v>0</v>
      </c>
      <c r="G158" s="175">
        <f t="shared" si="25"/>
        <v>0</v>
      </c>
      <c r="H158" s="175">
        <f t="shared" si="25"/>
        <v>0</v>
      </c>
    </row>
    <row r="159" spans="1:8" hidden="1" x14ac:dyDescent="0.25">
      <c r="A159" s="133">
        <f t="shared" si="23"/>
        <v>0</v>
      </c>
      <c r="B159" s="175">
        <f t="shared" si="25"/>
        <v>0</v>
      </c>
      <c r="C159" s="175">
        <f t="shared" si="25"/>
        <v>0</v>
      </c>
      <c r="D159" s="175">
        <f t="shared" si="25"/>
        <v>0</v>
      </c>
      <c r="E159" s="175">
        <f t="shared" si="25"/>
        <v>0</v>
      </c>
      <c r="F159" s="175">
        <f t="shared" si="25"/>
        <v>0</v>
      </c>
      <c r="G159" s="175">
        <f t="shared" si="25"/>
        <v>0</v>
      </c>
      <c r="H159" s="175">
        <f t="shared" si="25"/>
        <v>0</v>
      </c>
    </row>
    <row r="160" spans="1:8" hidden="1" x14ac:dyDescent="0.25">
      <c r="A160" s="133">
        <f t="shared" si="23"/>
        <v>0</v>
      </c>
      <c r="B160" s="175">
        <f t="shared" si="25"/>
        <v>0</v>
      </c>
      <c r="C160" s="175">
        <f t="shared" si="25"/>
        <v>0</v>
      </c>
      <c r="D160" s="175">
        <f t="shared" si="25"/>
        <v>0</v>
      </c>
      <c r="E160" s="175">
        <f t="shared" si="25"/>
        <v>0</v>
      </c>
      <c r="F160" s="175">
        <f t="shared" si="25"/>
        <v>0</v>
      </c>
      <c r="G160" s="175">
        <f t="shared" si="25"/>
        <v>0</v>
      </c>
      <c r="H160" s="175">
        <f t="shared" si="25"/>
        <v>0</v>
      </c>
    </row>
    <row r="161" spans="1:20" hidden="1" x14ac:dyDescent="0.25">
      <c r="A161" s="133">
        <f t="shared" si="23"/>
        <v>0</v>
      </c>
      <c r="B161" s="175">
        <f t="shared" si="25"/>
        <v>0</v>
      </c>
      <c r="C161" s="175">
        <f t="shared" si="25"/>
        <v>0</v>
      </c>
      <c r="D161" s="175">
        <f t="shared" si="25"/>
        <v>0</v>
      </c>
      <c r="E161" s="175">
        <f t="shared" si="25"/>
        <v>0</v>
      </c>
      <c r="F161" s="175">
        <f t="shared" si="25"/>
        <v>0</v>
      </c>
      <c r="G161" s="175">
        <f t="shared" si="25"/>
        <v>0</v>
      </c>
      <c r="H161" s="175">
        <f t="shared" si="25"/>
        <v>0</v>
      </c>
    </row>
    <row r="162" spans="1:20" hidden="1" x14ac:dyDescent="0.25">
      <c r="A162" s="133">
        <f t="shared" si="23"/>
        <v>0</v>
      </c>
      <c r="B162" s="175">
        <f t="shared" si="25"/>
        <v>0</v>
      </c>
      <c r="C162" s="175">
        <f t="shared" si="25"/>
        <v>0</v>
      </c>
      <c r="D162" s="175">
        <f t="shared" si="25"/>
        <v>0</v>
      </c>
      <c r="E162" s="175">
        <f t="shared" si="25"/>
        <v>0</v>
      </c>
      <c r="F162" s="175">
        <f t="shared" si="25"/>
        <v>0</v>
      </c>
      <c r="G162" s="175">
        <f t="shared" si="25"/>
        <v>0</v>
      </c>
      <c r="H162" s="175">
        <f t="shared" si="25"/>
        <v>0</v>
      </c>
    </row>
    <row r="163" spans="1:20" hidden="1" x14ac:dyDescent="0.25">
      <c r="A163" s="133">
        <f t="shared" si="23"/>
        <v>0</v>
      </c>
      <c r="B163" s="175">
        <f t="shared" si="25"/>
        <v>0</v>
      </c>
      <c r="C163" s="175">
        <f t="shared" si="25"/>
        <v>0</v>
      </c>
      <c r="D163" s="175">
        <f t="shared" si="25"/>
        <v>0</v>
      </c>
      <c r="E163" s="175">
        <f t="shared" si="25"/>
        <v>0</v>
      </c>
      <c r="F163" s="175">
        <f t="shared" si="25"/>
        <v>0</v>
      </c>
      <c r="G163" s="175">
        <f t="shared" si="25"/>
        <v>0</v>
      </c>
      <c r="H163" s="175">
        <f t="shared" si="25"/>
        <v>0</v>
      </c>
    </row>
    <row r="164" spans="1:20" hidden="1" x14ac:dyDescent="0.25">
      <c r="A164" s="133">
        <f t="shared" si="23"/>
        <v>0</v>
      </c>
      <c r="B164" s="175">
        <f t="shared" ref="B164:H168" si="26">B112-(B112*$G$7)</f>
        <v>0</v>
      </c>
      <c r="C164" s="175">
        <f t="shared" si="26"/>
        <v>0</v>
      </c>
      <c r="D164" s="175">
        <f t="shared" si="26"/>
        <v>0</v>
      </c>
      <c r="E164" s="175">
        <f t="shared" si="26"/>
        <v>0</v>
      </c>
      <c r="F164" s="175">
        <f t="shared" si="26"/>
        <v>0</v>
      </c>
      <c r="G164" s="175">
        <f t="shared" si="26"/>
        <v>0</v>
      </c>
      <c r="H164" s="175">
        <f t="shared" si="26"/>
        <v>0</v>
      </c>
    </row>
    <row r="165" spans="1:20" hidden="1" x14ac:dyDescent="0.25">
      <c r="A165" s="133" t="str">
        <f t="shared" si="23"/>
        <v>Pomegranate</v>
      </c>
      <c r="B165" s="175">
        <f t="shared" si="26"/>
        <v>0</v>
      </c>
      <c r="C165" s="175">
        <f t="shared" si="26"/>
        <v>0</v>
      </c>
      <c r="D165" s="175">
        <f t="shared" si="26"/>
        <v>0</v>
      </c>
      <c r="E165" s="175">
        <f t="shared" si="26"/>
        <v>0</v>
      </c>
      <c r="F165" s="175">
        <f t="shared" si="26"/>
        <v>0</v>
      </c>
      <c r="G165" s="175">
        <f t="shared" si="26"/>
        <v>0</v>
      </c>
      <c r="H165" s="175">
        <f t="shared" si="26"/>
        <v>0</v>
      </c>
    </row>
    <row r="166" spans="1:20" hidden="1" x14ac:dyDescent="0.25">
      <c r="A166" s="133" t="str">
        <f t="shared" si="23"/>
        <v>Custard Apple</v>
      </c>
      <c r="B166" s="175">
        <f t="shared" si="26"/>
        <v>0</v>
      </c>
      <c r="C166" s="175">
        <f t="shared" si="26"/>
        <v>0</v>
      </c>
      <c r="D166" s="175">
        <f t="shared" si="26"/>
        <v>0</v>
      </c>
      <c r="E166" s="175">
        <f t="shared" si="26"/>
        <v>0</v>
      </c>
      <c r="F166" s="175">
        <f t="shared" si="26"/>
        <v>0</v>
      </c>
      <c r="G166" s="175">
        <f t="shared" si="26"/>
        <v>0</v>
      </c>
      <c r="H166" s="175">
        <f t="shared" si="26"/>
        <v>0</v>
      </c>
    </row>
    <row r="167" spans="1:20" hidden="1" x14ac:dyDescent="0.25">
      <c r="A167" s="133" t="str">
        <f t="shared" si="23"/>
        <v>Guava</v>
      </c>
      <c r="B167" s="175">
        <f t="shared" si="26"/>
        <v>0</v>
      </c>
      <c r="C167" s="175">
        <f t="shared" si="26"/>
        <v>0</v>
      </c>
      <c r="D167" s="175">
        <f t="shared" si="26"/>
        <v>0</v>
      </c>
      <c r="E167" s="175">
        <f t="shared" si="26"/>
        <v>0</v>
      </c>
      <c r="F167" s="175">
        <f t="shared" si="26"/>
        <v>0</v>
      </c>
      <c r="G167" s="175">
        <f t="shared" si="26"/>
        <v>0</v>
      </c>
      <c r="H167" s="175">
        <f t="shared" si="26"/>
        <v>0</v>
      </c>
    </row>
    <row r="168" spans="1:20" hidden="1" x14ac:dyDescent="0.25">
      <c r="A168" s="133" t="str">
        <f t="shared" si="23"/>
        <v>Citrus</v>
      </c>
      <c r="B168" s="175">
        <f t="shared" si="26"/>
        <v>0</v>
      </c>
      <c r="C168" s="175">
        <f t="shared" si="26"/>
        <v>0</v>
      </c>
      <c r="D168" s="175">
        <f t="shared" si="26"/>
        <v>0</v>
      </c>
      <c r="E168" s="175">
        <f t="shared" si="26"/>
        <v>0</v>
      </c>
      <c r="F168" s="175">
        <f t="shared" si="26"/>
        <v>0</v>
      </c>
      <c r="G168" s="175">
        <f t="shared" si="26"/>
        <v>0</v>
      </c>
      <c r="H168" s="175">
        <f t="shared" si="26"/>
        <v>0</v>
      </c>
    </row>
    <row r="169" spans="1:20" x14ac:dyDescent="0.25">
      <c r="A169" s="160"/>
    </row>
    <row r="170" spans="1:20" ht="18.75" x14ac:dyDescent="0.3">
      <c r="A170" s="479" t="s">
        <v>578</v>
      </c>
      <c r="B170" s="479"/>
      <c r="C170" s="479"/>
      <c r="D170" s="479"/>
      <c r="E170" s="479"/>
      <c r="F170" s="479"/>
      <c r="G170" s="479"/>
      <c r="H170" s="479"/>
      <c r="I170" s="479"/>
      <c r="J170" s="479"/>
    </row>
    <row r="171" spans="1:20" x14ac:dyDescent="0.25">
      <c r="A171" s="181"/>
      <c r="B171" s="181"/>
      <c r="C171" s="181"/>
      <c r="D171" s="181"/>
      <c r="E171" s="181"/>
      <c r="F171" s="181"/>
      <c r="G171" s="181"/>
      <c r="H171" s="181"/>
    </row>
    <row r="172" spans="1:20" x14ac:dyDescent="0.25">
      <c r="A172" s="181"/>
      <c r="B172" s="181"/>
      <c r="C172" s="181"/>
      <c r="D172" s="182">
        <v>1</v>
      </c>
      <c r="E172" s="183">
        <f>(D172*5%)+D172</f>
        <v>1.05</v>
      </c>
      <c r="F172" s="183">
        <f t="shared" ref="F172:J172" si="27">(E172*5%)+E172</f>
        <v>1.1025</v>
      </c>
      <c r="G172" s="183">
        <f t="shared" si="27"/>
        <v>1.1576250000000001</v>
      </c>
      <c r="H172" s="183">
        <f t="shared" si="27"/>
        <v>1.2155062500000002</v>
      </c>
      <c r="I172" s="183">
        <f t="shared" si="27"/>
        <v>1.2762815625000004</v>
      </c>
      <c r="J172" s="183">
        <f t="shared" si="27"/>
        <v>1.3400956406250004</v>
      </c>
      <c r="K172" s="150"/>
      <c r="L172" s="150"/>
      <c r="M172" s="150"/>
      <c r="N172" s="150"/>
      <c r="O172" s="150"/>
      <c r="P172" s="150"/>
      <c r="Q172" s="150"/>
      <c r="R172" s="150"/>
      <c r="S172" s="150"/>
      <c r="T172" s="150"/>
    </row>
    <row r="173" spans="1:20" x14ac:dyDescent="0.25">
      <c r="A173" s="150"/>
      <c r="B173" s="150"/>
      <c r="C173" s="150"/>
      <c r="D173" s="150"/>
      <c r="E173" s="150"/>
      <c r="F173" s="150"/>
      <c r="G173" s="150"/>
      <c r="H173" s="150"/>
      <c r="I173" s="150"/>
      <c r="J173" s="150"/>
      <c r="K173" s="150"/>
      <c r="L173" s="150"/>
      <c r="M173" s="150"/>
      <c r="N173" s="150"/>
      <c r="O173" s="150"/>
      <c r="P173" s="150"/>
      <c r="Q173" s="150"/>
      <c r="R173" s="150"/>
      <c r="S173" s="150"/>
      <c r="T173" s="150"/>
    </row>
    <row r="174" spans="1:20" x14ac:dyDescent="0.25">
      <c r="A174" s="150"/>
      <c r="B174" s="150"/>
      <c r="C174" s="150"/>
      <c r="D174" s="105"/>
      <c r="E174" s="105"/>
      <c r="F174" s="105"/>
      <c r="G174" s="105"/>
      <c r="H174" s="105"/>
      <c r="I174" s="105"/>
      <c r="J174" s="105"/>
      <c r="K174" s="150"/>
      <c r="L174" s="150"/>
    </row>
    <row r="175" spans="1:20" x14ac:dyDescent="0.25">
      <c r="A175" s="106" t="s">
        <v>0</v>
      </c>
      <c r="B175" s="106"/>
      <c r="C175" s="106" t="s">
        <v>151</v>
      </c>
      <c r="D175" s="107" t="s">
        <v>2</v>
      </c>
      <c r="E175" s="107" t="s">
        <v>3</v>
      </c>
      <c r="F175" s="107" t="s">
        <v>4</v>
      </c>
      <c r="G175" s="107" t="s">
        <v>5</v>
      </c>
      <c r="H175" s="107" t="s">
        <v>6</v>
      </c>
      <c r="I175" s="107" t="s">
        <v>168</v>
      </c>
      <c r="J175" s="107" t="s">
        <v>167</v>
      </c>
      <c r="K175" s="150"/>
      <c r="L175" s="150"/>
    </row>
    <row r="176" spans="1:20" x14ac:dyDescent="0.25">
      <c r="A176" s="113"/>
      <c r="B176" s="113"/>
      <c r="C176" s="113"/>
      <c r="D176" s="109"/>
      <c r="E176" s="109"/>
      <c r="F176" s="109"/>
      <c r="G176" s="109"/>
      <c r="H176" s="109"/>
      <c r="I176" s="109"/>
      <c r="J176" s="109"/>
      <c r="K176" s="150"/>
      <c r="L176" s="150"/>
    </row>
    <row r="177" spans="1:12" x14ac:dyDescent="0.25">
      <c r="A177" s="113" t="s">
        <v>126</v>
      </c>
      <c r="B177" s="113"/>
      <c r="C177" s="113"/>
      <c r="D177" s="109"/>
      <c r="E177" s="109"/>
      <c r="F177" s="109"/>
      <c r="G177" s="109"/>
      <c r="H177" s="109"/>
      <c r="I177" s="109"/>
      <c r="J177" s="109"/>
      <c r="K177" s="150"/>
      <c r="L177" s="150"/>
    </row>
    <row r="178" spans="1:12" x14ac:dyDescent="0.25">
      <c r="A178" s="109" t="str">
        <f t="shared" ref="A178:A198" si="28">A120</f>
        <v>Soybean</v>
      </c>
      <c r="B178" s="109" t="s">
        <v>352</v>
      </c>
      <c r="C178" s="154">
        <v>6500</v>
      </c>
      <c r="D178" s="184">
        <f>(B120*(1-'5.Closing Stock &amp; W Capital'!$D$16))*C$178*D172</f>
        <v>22021599.599999998</v>
      </c>
      <c r="E178" s="184">
        <f>((C120*(1-'5.Closing Stock &amp; W Capital'!$D$16))+(B120*'5.Closing Stock &amp; W Capital'!$D$16))*$C178*E$172</f>
        <v>25434947.537999991</v>
      </c>
      <c r="F178" s="184">
        <f>((D120*(1-'5.Closing Stock &amp; W Capital'!$D$16))+(C120*'5.Closing Stock &amp; W Capital'!$D$16))*$C178*F$172</f>
        <v>28325282.485499997</v>
      </c>
      <c r="G178" s="184">
        <f>((E120*(1-'5.Closing Stock &amp; W Capital'!$D$16))+(D120*'5.Closing Stock &amp; W Capital'!$D$16))*$C178*G$172</f>
        <v>31441063.558904998</v>
      </c>
      <c r="H178" s="184">
        <f>((F120*(1-'5.Closing Stock &amp; W Capital'!$D$16))+(E120*'5.Closing Stock &amp; W Capital'!$D$16))*$C178*H$172</f>
        <v>34797609.533436745</v>
      </c>
      <c r="I178" s="184">
        <f>((G120*(1-'5.Closing Stock &amp; W Capital'!$D$16))+(F120*'5.Closing Stock &amp; W Capital'!$D$16))*$C178*I$172</f>
        <v>38411207.446524426</v>
      </c>
      <c r="J178" s="184">
        <f>((H120*(1-'5.Closing Stock &amp; W Capital'!$D$16))+(G120*'5.Closing Stock &amp; W Capital'!$D$16))*$C178*J$172</f>
        <v>42299171.127087265</v>
      </c>
      <c r="K178" s="150"/>
      <c r="L178" s="150"/>
    </row>
    <row r="179" spans="1:12" x14ac:dyDescent="0.25">
      <c r="A179" s="109" t="str">
        <f t="shared" si="28"/>
        <v>Red Gram/Tur</v>
      </c>
      <c r="B179" s="109" t="s">
        <v>352</v>
      </c>
      <c r="C179" s="154">
        <v>6500</v>
      </c>
      <c r="D179" s="184">
        <f>(B121*(1-'5.Closing Stock &amp; W Capital'!$D$16))*$C179*D$172</f>
        <v>17467257.532724991</v>
      </c>
      <c r="E179" s="184">
        <f>((C121*(1-'5.Closing Stock &amp; W Capital'!$D$16))+(B121*'5.Closing Stock &amp; W Capital'!$D$16))*$C179*E$172</f>
        <v>20174682.450297371</v>
      </c>
      <c r="F179" s="184">
        <f>((D121*(1-'5.Closing Stock &amp; W Capital'!$D$16))+(C121*'5.Closing Stock &amp; W Capital'!$D$16))*$C179*F$172</f>
        <v>22467260.001467526</v>
      </c>
      <c r="G179" s="184">
        <f>((E121*(1-'5.Closing Stock &amp; W Capital'!$D$16))+(D121*'5.Closing Stock &amp; W Capital'!$D$16))*$C179*G$172</f>
        <v>24938658.601628955</v>
      </c>
      <c r="H179" s="184">
        <f>((F121*(1-'5.Closing Stock &amp; W Capital'!$D$16))+(E121*'5.Closing Stock &amp; W Capital'!$D$16))*$C179*H$172</f>
        <v>27601028.911802866</v>
      </c>
      <c r="I179" s="184">
        <f>((G121*(1-'5.Closing Stock &amp; W Capital'!$D$16))+(F121*'5.Closing Stock &amp; W Capital'!$D$16))*$C179*I$172</f>
        <v>30467289.606490083</v>
      </c>
      <c r="J179" s="184">
        <f>((H121*(1-'5.Closing Stock &amp; W Capital'!$D$16))+(G121*'5.Closing Stock &amp; W Capital'!$D$16))*$C179*J$172</f>
        <v>33551173.798366521</v>
      </c>
      <c r="K179" s="150"/>
      <c r="L179" s="150"/>
    </row>
    <row r="180" spans="1:12" hidden="1" x14ac:dyDescent="0.25">
      <c r="A180" s="109" t="str">
        <f t="shared" si="28"/>
        <v>Paddy/Rice</v>
      </c>
      <c r="B180" s="109" t="s">
        <v>352</v>
      </c>
      <c r="C180" s="154"/>
      <c r="D180" s="184">
        <f>(B122*(1-'5.Closing Stock &amp; W Capital'!$D$16))*$C180*D$172</f>
        <v>0</v>
      </c>
      <c r="E180" s="184">
        <f>((C122*(1-'5.Closing Stock &amp; W Capital'!$D$16))+(B122*'5.Closing Stock &amp; W Capital'!$D$16))*$C180*E$172</f>
        <v>0</v>
      </c>
      <c r="F180" s="184">
        <f>((D122*(1-'5.Closing Stock &amp; W Capital'!$D$16))+(C122*'5.Closing Stock &amp; W Capital'!$D$16))*$C180*F$172</f>
        <v>0</v>
      </c>
      <c r="G180" s="184">
        <f>((E122*(1-'5.Closing Stock &amp; W Capital'!$D$16))+(D122*'5.Closing Stock &amp; W Capital'!$D$16))*$C180*G$172</f>
        <v>0</v>
      </c>
      <c r="H180" s="184">
        <f>((F122*(1-'5.Closing Stock &amp; W Capital'!$D$16))+(E122*'5.Closing Stock &amp; W Capital'!$D$16))*$C180*H$172</f>
        <v>0</v>
      </c>
      <c r="I180" s="184">
        <f>((G122*(1-'5.Closing Stock &amp; W Capital'!$D$16))+(F122*'5.Closing Stock &amp; W Capital'!$D$16))*$C180*I$172</f>
        <v>0</v>
      </c>
      <c r="J180" s="184">
        <f>((H122*(1-'5.Closing Stock &amp; W Capital'!$D$16))+(G122*'5.Closing Stock &amp; W Capital'!$D$16))*$C180*J$172</f>
        <v>0</v>
      </c>
      <c r="K180" s="150"/>
      <c r="L180" s="150"/>
    </row>
    <row r="181" spans="1:12" x14ac:dyDescent="0.25">
      <c r="A181" s="109" t="str">
        <f t="shared" si="28"/>
        <v>Green Gram/ Moong</v>
      </c>
      <c r="B181" s="109" t="s">
        <v>352</v>
      </c>
      <c r="C181" s="154">
        <v>7000</v>
      </c>
      <c r="D181" s="184">
        <f>(B123*(1-'5.Closing Stock &amp; W Capital'!$D$16))*$C181*D$172</f>
        <v>5084025.0614999998</v>
      </c>
      <c r="E181" s="184">
        <f>((C123*(1-'5.Closing Stock &amp; W Capital'!$D$16))+(B123*'5.Closing Stock &amp; W Capital'!$D$16))*$C181*E$172</f>
        <v>5872048.946032499</v>
      </c>
      <c r="F181" s="184">
        <f>((D123*(1-'5.Closing Stock &amp; W Capital'!$D$16))+(C123*'5.Closing Stock &amp; W Capital'!$D$16))*$C181*F$172</f>
        <v>6539327.2353543732</v>
      </c>
      <c r="G181" s="184">
        <f>((E123*(1-'5.Closing Stock &amp; W Capital'!$D$16))+(D123*'5.Closing Stock &amp; W Capital'!$D$16))*$C181*G$172</f>
        <v>7258653.2312433571</v>
      </c>
      <c r="H181" s="184">
        <f>((F123*(1-'5.Closing Stock &amp; W Capital'!$D$16))+(E123*'5.Closing Stock &amp; W Capital'!$D$16))*$C181*H$172</f>
        <v>8033563.5086328518</v>
      </c>
      <c r="I181" s="184">
        <f>((G123*(1-'5.Closing Stock &amp; W Capital'!$D$16))+(F123*'5.Closing Stock &amp; W Capital'!$D$16))*$C181*I$172</f>
        <v>8867818.1806831863</v>
      </c>
      <c r="J181" s="184">
        <f>((H123*(1-'5.Closing Stock &amp; W Capital'!$D$16))+(G123*'5.Closing Stock &amp; W Capital'!$D$16))*$C181*J$172</f>
        <v>9765414.4111669734</v>
      </c>
      <c r="K181" s="150"/>
      <c r="L181" s="150"/>
    </row>
    <row r="182" spans="1:12" hidden="1" x14ac:dyDescent="0.25">
      <c r="A182" s="109" t="str">
        <f t="shared" si="28"/>
        <v>Maize</v>
      </c>
      <c r="B182" s="109" t="s">
        <v>352</v>
      </c>
      <c r="C182" s="154"/>
      <c r="D182" s="184">
        <f>(B124*(1-'5.Closing Stock &amp; W Capital'!$D$16))*$C182*D$172</f>
        <v>0</v>
      </c>
      <c r="E182" s="184">
        <f>((C124*(1-'5.Closing Stock &amp; W Capital'!$D$16))+(B124*'5.Closing Stock &amp; W Capital'!$D$16))*$C182*E$172</f>
        <v>0</v>
      </c>
      <c r="F182" s="184">
        <f>((D124*(1-'5.Closing Stock &amp; W Capital'!$D$16))+(C124*'5.Closing Stock &amp; W Capital'!$D$16))*$C182*F$172</f>
        <v>0</v>
      </c>
      <c r="G182" s="184">
        <f>((E124*(1-'5.Closing Stock &amp; W Capital'!$D$16))+(D124*'5.Closing Stock &amp; W Capital'!$D$16))*$C182*G$172</f>
        <v>0</v>
      </c>
      <c r="H182" s="184">
        <f>((F124*(1-'5.Closing Stock &amp; W Capital'!$D$16))+(E124*'5.Closing Stock &amp; W Capital'!$D$16))*$C182*H$172</f>
        <v>0</v>
      </c>
      <c r="I182" s="184">
        <f>((G124*(1-'5.Closing Stock &amp; W Capital'!$D$16))+(F124*'5.Closing Stock &amp; W Capital'!$D$16))*$C182*I$172</f>
        <v>0</v>
      </c>
      <c r="J182" s="184">
        <f>((H124*(1-'5.Closing Stock &amp; W Capital'!$D$16))+(G124*'5.Closing Stock &amp; W Capital'!$D$16))*$C182*J$172</f>
        <v>0</v>
      </c>
      <c r="K182" s="150"/>
      <c r="L182" s="150"/>
    </row>
    <row r="183" spans="1:12" hidden="1" x14ac:dyDescent="0.25">
      <c r="A183" s="109" t="str">
        <f t="shared" si="28"/>
        <v>Black Gram/Udid</v>
      </c>
      <c r="B183" s="109" t="s">
        <v>352</v>
      </c>
      <c r="C183" s="154">
        <v>6500</v>
      </c>
      <c r="D183" s="184">
        <f>(B125*(1-'5.Closing Stock &amp; W Capital'!$D$16))*$C183*D$172</f>
        <v>0</v>
      </c>
      <c r="E183" s="184">
        <f>((C125*(1-'5.Closing Stock &amp; W Capital'!$D$16))+(B125*'5.Closing Stock &amp; W Capital'!$D$16))*$C183*E$172</f>
        <v>0</v>
      </c>
      <c r="F183" s="184">
        <f>((D125*(1-'5.Closing Stock &amp; W Capital'!$D$16))+(C125*'5.Closing Stock &amp; W Capital'!$D$16))*$C183*F$172</f>
        <v>0</v>
      </c>
      <c r="G183" s="184">
        <f>((E125*(1-'5.Closing Stock &amp; W Capital'!$D$16))+(D125*'5.Closing Stock &amp; W Capital'!$D$16))*$C183*G$172</f>
        <v>0</v>
      </c>
      <c r="H183" s="184">
        <f>((F125*(1-'5.Closing Stock &amp; W Capital'!$D$16))+(E125*'5.Closing Stock &amp; W Capital'!$D$16))*$C183*H$172</f>
        <v>0</v>
      </c>
      <c r="I183" s="184">
        <f>((G125*(1-'5.Closing Stock &amp; W Capital'!$D$16))+(F125*'5.Closing Stock &amp; W Capital'!$D$16))*$C183*I$172</f>
        <v>0</v>
      </c>
      <c r="J183" s="184">
        <f>((H125*(1-'5.Closing Stock &amp; W Capital'!$D$16))+(G125*'5.Closing Stock &amp; W Capital'!$D$16))*$C183*J$172</f>
        <v>0</v>
      </c>
      <c r="K183" s="150"/>
      <c r="L183" s="150"/>
    </row>
    <row r="184" spans="1:12" hidden="1" x14ac:dyDescent="0.25">
      <c r="A184" s="109" t="str">
        <f t="shared" si="28"/>
        <v>Bajra</v>
      </c>
      <c r="B184" s="109" t="s">
        <v>352</v>
      </c>
      <c r="C184" s="154">
        <v>2000</v>
      </c>
      <c r="D184" s="184">
        <f>(B126*(1-'5.Closing Stock &amp; W Capital'!$D$16))*$C184*D$172</f>
        <v>0</v>
      </c>
      <c r="E184" s="184">
        <f>((C126*(1-'5.Closing Stock &amp; W Capital'!$D$16))+(B126*'5.Closing Stock &amp; W Capital'!$D$16))*$C184*E$172</f>
        <v>0</v>
      </c>
      <c r="F184" s="184">
        <f>((D126*(1-'5.Closing Stock &amp; W Capital'!$D$16))+(C126*'5.Closing Stock &amp; W Capital'!$D$16))*$C184*F$172</f>
        <v>0</v>
      </c>
      <c r="G184" s="184">
        <f>((E126*(1-'5.Closing Stock &amp; W Capital'!$D$16))+(D126*'5.Closing Stock &amp; W Capital'!$D$16))*$C184*G$172</f>
        <v>0</v>
      </c>
      <c r="H184" s="184">
        <f>((F126*(1-'5.Closing Stock &amp; W Capital'!$D$16))+(E126*'5.Closing Stock &amp; W Capital'!$D$16))*$C184*H$172</f>
        <v>0</v>
      </c>
      <c r="I184" s="184">
        <f>((G126*(1-'5.Closing Stock &amp; W Capital'!$D$16))+(F126*'5.Closing Stock &amp; W Capital'!$D$16))*$C184*I$172</f>
        <v>0</v>
      </c>
      <c r="J184" s="184">
        <f>((H126*(1-'5.Closing Stock &amp; W Capital'!$D$16))+(G126*'5.Closing Stock &amp; W Capital'!$D$16))*$C184*J$172</f>
        <v>0</v>
      </c>
      <c r="K184" s="150"/>
      <c r="L184" s="150"/>
    </row>
    <row r="185" spans="1:12" hidden="1" x14ac:dyDescent="0.25">
      <c r="A185" s="109" t="str">
        <f t="shared" si="28"/>
        <v>Jawar</v>
      </c>
      <c r="B185" s="109" t="s">
        <v>352</v>
      </c>
      <c r="C185" s="154"/>
      <c r="D185" s="184">
        <f>(B127*(1-'5.Closing Stock &amp; W Capital'!$D$16))*$C185*D$172</f>
        <v>0</v>
      </c>
      <c r="E185" s="184">
        <f>((C127*(1-'5.Closing Stock &amp; W Capital'!$D$16))+(B127*'5.Closing Stock &amp; W Capital'!$D$16))*$C185*E$172</f>
        <v>0</v>
      </c>
      <c r="F185" s="184">
        <f>((D127*(1-'5.Closing Stock &amp; W Capital'!$D$16))+(C127*'5.Closing Stock &amp; W Capital'!$D$16))*$C185*F$172</f>
        <v>0</v>
      </c>
      <c r="G185" s="184">
        <f>((E127*(1-'5.Closing Stock &amp; W Capital'!$D$16))+(D127*'5.Closing Stock &amp; W Capital'!$D$16))*$C185*G$172</f>
        <v>0</v>
      </c>
      <c r="H185" s="184">
        <f>((F127*(1-'5.Closing Stock &amp; W Capital'!$D$16))+(E127*'5.Closing Stock &amp; W Capital'!$D$16))*$C185*H$172</f>
        <v>0</v>
      </c>
      <c r="I185" s="184">
        <f>((G127*(1-'5.Closing Stock &amp; W Capital'!$D$16))+(F127*'5.Closing Stock &amp; W Capital'!$D$16))*$C185*I$172</f>
        <v>0</v>
      </c>
      <c r="J185" s="184">
        <f>((H127*(1-'5.Closing Stock &amp; W Capital'!$D$16))+(G127*'5.Closing Stock &amp; W Capital'!$D$16))*$C185*J$172</f>
        <v>0</v>
      </c>
      <c r="K185" s="150"/>
      <c r="L185" s="150"/>
    </row>
    <row r="186" spans="1:12" hidden="1" x14ac:dyDescent="0.25">
      <c r="A186" s="109" t="str">
        <f t="shared" si="28"/>
        <v>Sunflower</v>
      </c>
      <c r="B186" s="109" t="s">
        <v>352</v>
      </c>
      <c r="C186" s="154"/>
      <c r="D186" s="184">
        <f>(B128*(1-'5.Closing Stock &amp; W Capital'!$D$16))*$C186*D$172</f>
        <v>0</v>
      </c>
      <c r="E186" s="184">
        <f>((C128*(1-'5.Closing Stock &amp; W Capital'!$D$16))+(B128*'5.Closing Stock &amp; W Capital'!$D$16))*$C186*E$172</f>
        <v>0</v>
      </c>
      <c r="F186" s="184">
        <f>((D128*(1-'5.Closing Stock &amp; W Capital'!$D$16))+(C128*'5.Closing Stock &amp; W Capital'!$D$16))*$C186*F$172</f>
        <v>0</v>
      </c>
      <c r="G186" s="184">
        <f>((E128*(1-'5.Closing Stock &amp; W Capital'!$D$16))+(D128*'5.Closing Stock &amp; W Capital'!$D$16))*$C186*G$172</f>
        <v>0</v>
      </c>
      <c r="H186" s="184">
        <f>((F128*(1-'5.Closing Stock &amp; W Capital'!$D$16))+(E128*'5.Closing Stock &amp; W Capital'!$D$16))*$C186*H$172</f>
        <v>0</v>
      </c>
      <c r="I186" s="184">
        <f>((G128*(1-'5.Closing Stock &amp; W Capital'!$D$16))+(F128*'5.Closing Stock &amp; W Capital'!$D$16))*$C186*I$172</f>
        <v>0</v>
      </c>
      <c r="J186" s="184">
        <f>((H128*(1-'5.Closing Stock &amp; W Capital'!$D$16))+(G128*'5.Closing Stock &amp; W Capital'!$D$16))*$C186*J$172</f>
        <v>0</v>
      </c>
      <c r="K186" s="150"/>
      <c r="L186" s="150"/>
    </row>
    <row r="187" spans="1:12" hidden="1" x14ac:dyDescent="0.25">
      <c r="A187" s="109" t="str">
        <f t="shared" si="28"/>
        <v>Wheat</v>
      </c>
      <c r="B187" s="109" t="s">
        <v>352</v>
      </c>
      <c r="C187" s="154"/>
      <c r="D187" s="184">
        <f>(B129*(1-'5.Closing Stock &amp; W Capital'!$D$16))*$C187*D$172</f>
        <v>0</v>
      </c>
      <c r="E187" s="184">
        <f>((C129*(1-'5.Closing Stock &amp; W Capital'!$D$16))+(B129*'5.Closing Stock &amp; W Capital'!$D$16))*$C187*E$172</f>
        <v>0</v>
      </c>
      <c r="F187" s="184">
        <f>((D129*(1-'5.Closing Stock &amp; W Capital'!$D$16))+(C129*'5.Closing Stock &amp; W Capital'!$D$16))*$C187*F$172</f>
        <v>0</v>
      </c>
      <c r="G187" s="184">
        <f>((E129*(1-'5.Closing Stock &amp; W Capital'!$D$16))+(D129*'5.Closing Stock &amp; W Capital'!$D$16))*$C187*G$172</f>
        <v>0</v>
      </c>
      <c r="H187" s="184">
        <f>((F129*(1-'5.Closing Stock &amp; W Capital'!$D$16))+(E129*'5.Closing Stock &amp; W Capital'!$D$16))*$C187*H$172</f>
        <v>0</v>
      </c>
      <c r="I187" s="184">
        <f>((G129*(1-'5.Closing Stock &amp; W Capital'!$D$16))+(F129*'5.Closing Stock &amp; W Capital'!$D$16))*$C187*I$172</f>
        <v>0</v>
      </c>
      <c r="J187" s="184">
        <f>((H129*(1-'5.Closing Stock &amp; W Capital'!$D$16))+(G129*'5.Closing Stock &amp; W Capital'!$D$16))*$C187*J$172</f>
        <v>0</v>
      </c>
      <c r="K187" s="150"/>
      <c r="L187" s="150"/>
    </row>
    <row r="188" spans="1:12" x14ac:dyDescent="0.25">
      <c r="A188" s="109" t="str">
        <f t="shared" si="28"/>
        <v>Bengal Gram/Channa</v>
      </c>
      <c r="B188" s="109" t="s">
        <v>352</v>
      </c>
      <c r="C188" s="154">
        <v>5500</v>
      </c>
      <c r="D188" s="184">
        <f>(B130*(1-'5.Closing Stock &amp; W Capital'!$D$16))*$C188*D$172</f>
        <v>13940307.785249999</v>
      </c>
      <c r="E188" s="184">
        <f>((C130*(1-'5.Closing Stock &amp; W Capital'!$D$16))+(B130*'5.Closing Stock &amp; W Capital'!$D$16))*$C188*E$172</f>
        <v>16101055.491963748</v>
      </c>
      <c r="F188" s="184">
        <f>((D130*(1-'5.Closing Stock &amp; W Capital'!$D$16))+(C130*'5.Closing Stock &amp; W Capital'!$D$16))*$C188*F$172</f>
        <v>17930720.888777811</v>
      </c>
      <c r="G188" s="184">
        <f>((E130*(1-'5.Closing Stock &amp; W Capital'!$D$16))+(D130*'5.Closing Stock &amp; W Capital'!$D$16))*$C188*G$172</f>
        <v>19903100.186543375</v>
      </c>
      <c r="H188" s="184">
        <f>((F130*(1-'5.Closing Stock &amp; W Capital'!$D$16))+(E130*'5.Closing Stock &amp; W Capital'!$D$16))*$C188*H$172</f>
        <v>22027890.611863546</v>
      </c>
      <c r="I188" s="184">
        <f>((G130*(1-'5.Closing Stock &amp; W Capital'!$D$16))+(F130*'5.Closing Stock &amp; W Capital'!$D$16))*$C188*I$172</f>
        <v>24315402.329249378</v>
      </c>
      <c r="J188" s="184">
        <f>((H130*(1-'5.Closing Stock &amp; W Capital'!$D$16))+(G130*'5.Closing Stock &amp; W Capital'!$D$16))*$C188*J$172</f>
        <v>26776595.491844136</v>
      </c>
      <c r="K188" s="150"/>
      <c r="L188" s="150"/>
    </row>
    <row r="189" spans="1:12" hidden="1" x14ac:dyDescent="0.25">
      <c r="A189" s="109" t="str">
        <f t="shared" si="28"/>
        <v>Jawar</v>
      </c>
      <c r="B189" s="109" t="s">
        <v>352</v>
      </c>
      <c r="C189" s="154"/>
      <c r="D189" s="184">
        <f>(B131*(1-'5.Closing Stock &amp; W Capital'!$D$16))*$C189*D$172</f>
        <v>0</v>
      </c>
      <c r="E189" s="184">
        <f>((C131*(1-'5.Closing Stock &amp; W Capital'!$D$16))+(B131*'5.Closing Stock &amp; W Capital'!$D$16))*$C189*E$172</f>
        <v>0</v>
      </c>
      <c r="F189" s="184">
        <f>((D131*(1-'5.Closing Stock &amp; W Capital'!$D$16))+(C131*'5.Closing Stock &amp; W Capital'!$D$16))*$C189*F$172</f>
        <v>0</v>
      </c>
      <c r="G189" s="184">
        <f>((E131*(1-'5.Closing Stock &amp; W Capital'!$D$16))+(D131*'5.Closing Stock &amp; W Capital'!$D$16))*$C189*G$172</f>
        <v>0</v>
      </c>
      <c r="H189" s="184">
        <f>((F131*(1-'5.Closing Stock &amp; W Capital'!$D$16))+(E131*'5.Closing Stock &amp; W Capital'!$D$16))*$C189*H$172</f>
        <v>0</v>
      </c>
      <c r="I189" s="184">
        <f>((G131*(1-'5.Closing Stock &amp; W Capital'!$D$16))+(F131*'5.Closing Stock &amp; W Capital'!$D$16))*$C189*I$172</f>
        <v>0</v>
      </c>
      <c r="J189" s="184">
        <f>((H131*(1-'5.Closing Stock &amp; W Capital'!$D$16))+(G131*'5.Closing Stock &amp; W Capital'!$D$16))*$C189*J$172</f>
        <v>0</v>
      </c>
      <c r="K189" s="150"/>
      <c r="L189" s="150"/>
    </row>
    <row r="190" spans="1:12" hidden="1" x14ac:dyDescent="0.25">
      <c r="A190" s="109" t="str">
        <f t="shared" si="28"/>
        <v>Maize</v>
      </c>
      <c r="B190" s="109" t="s">
        <v>352</v>
      </c>
      <c r="C190" s="154"/>
      <c r="D190" s="184">
        <f>(B132*(1-'5.Closing Stock &amp; W Capital'!$D$16))*$C190*D$172</f>
        <v>0</v>
      </c>
      <c r="E190" s="184">
        <f>((C132*(1-'5.Closing Stock &amp; W Capital'!$D$16))+(B132*'5.Closing Stock &amp; W Capital'!$D$16))*$C190*E$172</f>
        <v>0</v>
      </c>
      <c r="F190" s="184">
        <f>((D132*(1-'5.Closing Stock &amp; W Capital'!$D$16))+(C132*'5.Closing Stock &amp; W Capital'!$D$16))*$C190*F$172</f>
        <v>0</v>
      </c>
      <c r="G190" s="184">
        <f>((E132*(1-'5.Closing Stock &amp; W Capital'!$D$16))+(D132*'5.Closing Stock &amp; W Capital'!$D$16))*$C190*G$172</f>
        <v>0</v>
      </c>
      <c r="H190" s="184">
        <f>((F132*(1-'5.Closing Stock &amp; W Capital'!$D$16))+(E132*'5.Closing Stock &amp; W Capital'!$D$16))*$C190*H$172</f>
        <v>0</v>
      </c>
      <c r="I190" s="184">
        <f>((G132*(1-'5.Closing Stock &amp; W Capital'!$D$16))+(F132*'5.Closing Stock &amp; W Capital'!$D$16))*$C190*I$172</f>
        <v>0</v>
      </c>
      <c r="J190" s="184">
        <f>((H132*(1-'5.Closing Stock &amp; W Capital'!$D$16))+(G132*'5.Closing Stock &amp; W Capital'!$D$16))*$C190*J$172</f>
        <v>0</v>
      </c>
      <c r="K190" s="150"/>
      <c r="L190" s="150"/>
    </row>
    <row r="191" spans="1:12" hidden="1" x14ac:dyDescent="0.25">
      <c r="A191" s="109" t="str">
        <f t="shared" si="28"/>
        <v>Safflower</v>
      </c>
      <c r="B191" s="109" t="s">
        <v>352</v>
      </c>
      <c r="C191" s="154"/>
      <c r="D191" s="184">
        <f>(B133*(1-'5.Closing Stock &amp; W Capital'!$D$16))*$C191*D$172</f>
        <v>0</v>
      </c>
      <c r="E191" s="184">
        <f>((C133*(1-'5.Closing Stock &amp; W Capital'!$D$16))+(B133*'5.Closing Stock &amp; W Capital'!$D$16))*$C191*E$172</f>
        <v>0</v>
      </c>
      <c r="F191" s="184">
        <f>((D133*(1-'5.Closing Stock &amp; W Capital'!$D$16))+(C133*'5.Closing Stock &amp; W Capital'!$D$16))*$C191*F$172</f>
        <v>0</v>
      </c>
      <c r="G191" s="184">
        <f>((E133*(1-'5.Closing Stock &amp; W Capital'!$D$16))+(D133*'5.Closing Stock &amp; W Capital'!$D$16))*$C191*G$172</f>
        <v>0</v>
      </c>
      <c r="H191" s="184">
        <f>((F133*(1-'5.Closing Stock &amp; W Capital'!$D$16))+(E133*'5.Closing Stock &amp; W Capital'!$D$16))*$C191*H$172</f>
        <v>0</v>
      </c>
      <c r="I191" s="184">
        <f>((G133*(1-'5.Closing Stock &amp; W Capital'!$D$16))+(F133*'5.Closing Stock &amp; W Capital'!$D$16))*$C191*I$172</f>
        <v>0</v>
      </c>
      <c r="J191" s="184">
        <f>((H133*(1-'5.Closing Stock &amp; W Capital'!$D$16))+(G133*'5.Closing Stock &amp; W Capital'!$D$16))*$C191*J$172</f>
        <v>0</v>
      </c>
      <c r="K191" s="150"/>
      <c r="L191" s="150"/>
    </row>
    <row r="192" spans="1:12" hidden="1" x14ac:dyDescent="0.25">
      <c r="A192" s="109">
        <f t="shared" si="28"/>
        <v>0</v>
      </c>
      <c r="B192" s="109" t="s">
        <v>352</v>
      </c>
      <c r="C192" s="154"/>
      <c r="D192" s="184">
        <f>(B134*(1-'5.Closing Stock &amp; W Capital'!$D$16))*$C192*D$172</f>
        <v>0</v>
      </c>
      <c r="E192" s="184">
        <f>((C134*(1-'5.Closing Stock &amp; W Capital'!$D$16))+(B134*'5.Closing Stock &amp; W Capital'!$D$16))*$C192*E$172</f>
        <v>0</v>
      </c>
      <c r="F192" s="184">
        <f>((D134*(1-'5.Closing Stock &amp; W Capital'!$D$16))+(C134*'5.Closing Stock &amp; W Capital'!$D$16))*$C192*F$172</f>
        <v>0</v>
      </c>
      <c r="G192" s="184">
        <f>((E134*(1-'5.Closing Stock &amp; W Capital'!$D$16))+(D134*'5.Closing Stock &amp; W Capital'!$D$16))*$C192*G$172</f>
        <v>0</v>
      </c>
      <c r="H192" s="184">
        <f>((F134*(1-'5.Closing Stock &amp; W Capital'!$D$16))+(E134*'5.Closing Stock &amp; W Capital'!$D$16))*$C192*H$172</f>
        <v>0</v>
      </c>
      <c r="I192" s="184">
        <f>((G134*(1-'5.Closing Stock &amp; W Capital'!$D$16))+(F134*'5.Closing Stock &amp; W Capital'!$D$16))*$C192*I$172</f>
        <v>0</v>
      </c>
      <c r="J192" s="184">
        <f>((H134*(1-'5.Closing Stock &amp; W Capital'!$D$16))+(G134*'5.Closing Stock &amp; W Capital'!$D$16))*$C192*J$172</f>
        <v>0</v>
      </c>
      <c r="K192" s="150"/>
      <c r="L192" s="150"/>
    </row>
    <row r="193" spans="1:12" hidden="1" x14ac:dyDescent="0.25">
      <c r="A193" s="109">
        <f t="shared" si="28"/>
        <v>0</v>
      </c>
      <c r="B193" s="109" t="s">
        <v>352</v>
      </c>
      <c r="C193" s="154"/>
      <c r="D193" s="184">
        <f>(B135*(1-'5.Closing Stock &amp; W Capital'!$D$16))*$C193*D$172</f>
        <v>0</v>
      </c>
      <c r="E193" s="184">
        <f>((C135*(1-'5.Closing Stock &amp; W Capital'!$D$16))+(B135*'5.Closing Stock &amp; W Capital'!$D$16))*$C193*E$172</f>
        <v>0</v>
      </c>
      <c r="F193" s="184">
        <f>((D135*(1-'5.Closing Stock &amp; W Capital'!$D$16))+(C135*'5.Closing Stock &amp; W Capital'!$D$16))*$C193*F$172</f>
        <v>0</v>
      </c>
      <c r="G193" s="184">
        <f>((E135*(1-'5.Closing Stock &amp; W Capital'!$D$16))+(D135*'5.Closing Stock &amp; W Capital'!$D$16))*$C193*G$172</f>
        <v>0</v>
      </c>
      <c r="H193" s="184">
        <f>((F135*(1-'5.Closing Stock &amp; W Capital'!$D$16))+(E135*'5.Closing Stock &amp; W Capital'!$D$16))*$C193*H$172</f>
        <v>0</v>
      </c>
      <c r="I193" s="184">
        <f>((G135*(1-'5.Closing Stock &amp; W Capital'!$D$16))+(F135*'5.Closing Stock &amp; W Capital'!$D$16))*$C193*I$172</f>
        <v>0</v>
      </c>
      <c r="J193" s="184">
        <f>((H135*(1-'5.Closing Stock &amp; W Capital'!$D$16))+(G135*'5.Closing Stock &amp; W Capital'!$D$16))*$C193*J$172</f>
        <v>0</v>
      </c>
      <c r="K193" s="150"/>
      <c r="L193" s="150"/>
    </row>
    <row r="194" spans="1:12" hidden="1" x14ac:dyDescent="0.25">
      <c r="A194" s="109">
        <f t="shared" si="28"/>
        <v>0</v>
      </c>
      <c r="B194" s="109" t="s">
        <v>352</v>
      </c>
      <c r="C194" s="154"/>
      <c r="D194" s="184">
        <f>(B136*(1-'5.Closing Stock &amp; W Capital'!$D$16))*$C194*D$172</f>
        <v>0</v>
      </c>
      <c r="E194" s="184">
        <f>((C136*(1-'5.Closing Stock &amp; W Capital'!$D$16))+(B136*'5.Closing Stock &amp; W Capital'!$D$16))*$C194*E$172</f>
        <v>0</v>
      </c>
      <c r="F194" s="184">
        <f>((D136*(1-'5.Closing Stock &amp; W Capital'!$D$16))+(C136*'5.Closing Stock &amp; W Capital'!$D$16))*$C194*F$172</f>
        <v>0</v>
      </c>
      <c r="G194" s="184">
        <f>((E136*(1-'5.Closing Stock &amp; W Capital'!$D$16))+(D136*'5.Closing Stock &amp; W Capital'!$D$16))*$C194*G$172</f>
        <v>0</v>
      </c>
      <c r="H194" s="184">
        <f>((F136*(1-'5.Closing Stock &amp; W Capital'!$D$16))+(E136*'5.Closing Stock &amp; W Capital'!$D$16))*$C194*H$172</f>
        <v>0</v>
      </c>
      <c r="I194" s="184">
        <f>((G136*(1-'5.Closing Stock &amp; W Capital'!$D$16))+(F136*'5.Closing Stock &amp; W Capital'!$D$16))*$C194*I$172</f>
        <v>0</v>
      </c>
      <c r="J194" s="184">
        <f>((H136*(1-'5.Closing Stock &amp; W Capital'!$D$16))+(G136*'5.Closing Stock &amp; W Capital'!$D$16))*$C194*J$172</f>
        <v>0</v>
      </c>
      <c r="K194" s="150"/>
      <c r="L194" s="150"/>
    </row>
    <row r="195" spans="1:12" hidden="1" x14ac:dyDescent="0.25">
      <c r="A195" s="109" t="str">
        <f t="shared" si="28"/>
        <v>Groundnut</v>
      </c>
      <c r="B195" s="109" t="s">
        <v>352</v>
      </c>
      <c r="C195" s="154"/>
      <c r="D195" s="184">
        <f>(B137*(1-'5.Closing Stock &amp; W Capital'!$D$16))*$C195*D$172</f>
        <v>0</v>
      </c>
      <c r="E195" s="184">
        <f>((C137*(1-'5.Closing Stock &amp; W Capital'!$D$16))+(B137*'5.Closing Stock &amp; W Capital'!$D$16))*$C195*E$172</f>
        <v>0</v>
      </c>
      <c r="F195" s="184">
        <f>((D137*(1-'5.Closing Stock &amp; W Capital'!$D$16))+(C137*'5.Closing Stock &amp; W Capital'!$D$16))*$C195*F$172</f>
        <v>0</v>
      </c>
      <c r="G195" s="184">
        <f>((E137*(1-'5.Closing Stock &amp; W Capital'!$D$16))+(D137*'5.Closing Stock &amp; W Capital'!$D$16))*$C195*G$172</f>
        <v>0</v>
      </c>
      <c r="H195" s="184">
        <f>((F137*(1-'5.Closing Stock &amp; W Capital'!$D$16))+(E137*'5.Closing Stock &amp; W Capital'!$D$16))*$C195*H$172</f>
        <v>0</v>
      </c>
      <c r="I195" s="184">
        <f>((G137*(1-'5.Closing Stock &amp; W Capital'!$D$16))+(F137*'5.Closing Stock &amp; W Capital'!$D$16))*$C195*I$172</f>
        <v>0</v>
      </c>
      <c r="J195" s="184">
        <f>((H137*(1-'5.Closing Stock &amp; W Capital'!$D$16))+(G137*'5.Closing Stock &amp; W Capital'!$D$16))*$C195*J$172</f>
        <v>0</v>
      </c>
      <c r="K195" s="150"/>
      <c r="L195" s="150"/>
    </row>
    <row r="196" spans="1:12" hidden="1" x14ac:dyDescent="0.25">
      <c r="A196" s="109">
        <f t="shared" si="28"/>
        <v>0</v>
      </c>
      <c r="B196" s="109" t="s">
        <v>352</v>
      </c>
      <c r="C196" s="154"/>
      <c r="D196" s="184">
        <f>(B138*(1-'5.Closing Stock &amp; W Capital'!$D$16))*$C196*D$172</f>
        <v>0</v>
      </c>
      <c r="E196" s="184">
        <f>((C138*(1-'5.Closing Stock &amp; W Capital'!$D$16))+(B138*'5.Closing Stock &amp; W Capital'!$D$16))*$C196*E$172</f>
        <v>0</v>
      </c>
      <c r="F196" s="184">
        <f>((D138*(1-'5.Closing Stock &amp; W Capital'!$D$16))+(C138*'5.Closing Stock &amp; W Capital'!$D$16))*$C196*F$172</f>
        <v>0</v>
      </c>
      <c r="G196" s="184">
        <f>((E138*(1-'5.Closing Stock &amp; W Capital'!$D$16))+(D138*'5.Closing Stock &amp; W Capital'!$D$16))*$C196*G$172</f>
        <v>0</v>
      </c>
      <c r="H196" s="184">
        <f>((F138*(1-'5.Closing Stock &amp; W Capital'!$D$16))+(E138*'5.Closing Stock &amp; W Capital'!$D$16))*$C196*H$172</f>
        <v>0</v>
      </c>
      <c r="I196" s="184">
        <f>((G138*(1-'5.Closing Stock &amp; W Capital'!$D$16))+(F138*'5.Closing Stock &amp; W Capital'!$D$16))*$C196*I$172</f>
        <v>0</v>
      </c>
      <c r="J196" s="184">
        <f>((H138*(1-'5.Closing Stock &amp; W Capital'!$D$16))+(G138*'5.Closing Stock &amp; W Capital'!$D$16))*$C196*J$172</f>
        <v>0</v>
      </c>
      <c r="K196" s="150"/>
      <c r="L196" s="150"/>
    </row>
    <row r="197" spans="1:12" hidden="1" x14ac:dyDescent="0.25">
      <c r="A197" s="109">
        <f t="shared" si="28"/>
        <v>0</v>
      </c>
      <c r="B197" s="109" t="s">
        <v>352</v>
      </c>
      <c r="C197" s="154"/>
      <c r="D197" s="184">
        <f>(B139*(1-'5.Closing Stock &amp; W Capital'!$D$16))*$C197*D$172</f>
        <v>0</v>
      </c>
      <c r="E197" s="184">
        <f>((C139*(1-'5.Closing Stock &amp; W Capital'!$D$16))+(B139*'5.Closing Stock &amp; W Capital'!$D$16))*$C197*E$172</f>
        <v>0</v>
      </c>
      <c r="F197" s="184">
        <f>((D139*(1-'5.Closing Stock &amp; W Capital'!$D$16))+(C139*'5.Closing Stock &amp; W Capital'!$D$16))*$C197*F$172</f>
        <v>0</v>
      </c>
      <c r="G197" s="184">
        <f>((E139*(1-'5.Closing Stock &amp; W Capital'!$D$16))+(D139*'5.Closing Stock &amp; W Capital'!$D$16))*$C197*G$172</f>
        <v>0</v>
      </c>
      <c r="H197" s="184">
        <f>((F139*(1-'5.Closing Stock &amp; W Capital'!$D$16))+(E139*'5.Closing Stock &amp; W Capital'!$D$16))*$C197*H$172</f>
        <v>0</v>
      </c>
      <c r="I197" s="184">
        <f>((G139*(1-'5.Closing Stock &amp; W Capital'!$D$16))+(F139*'5.Closing Stock &amp; W Capital'!$D$16))*$C197*I$172</f>
        <v>0</v>
      </c>
      <c r="J197" s="184">
        <f>((H139*(1-'5.Closing Stock &amp; W Capital'!$D$16))+(G139*'5.Closing Stock &amp; W Capital'!$D$16))*$C197*J$172</f>
        <v>0</v>
      </c>
      <c r="K197" s="150"/>
      <c r="L197" s="150"/>
    </row>
    <row r="198" spans="1:12" hidden="1" x14ac:dyDescent="0.25">
      <c r="A198" s="109">
        <f t="shared" si="28"/>
        <v>0</v>
      </c>
      <c r="B198" s="109" t="s">
        <v>352</v>
      </c>
      <c r="C198" s="154"/>
      <c r="D198" s="184">
        <f>(B140*(1-'5.Closing Stock &amp; W Capital'!$D$16))*$C198*D$172</f>
        <v>0</v>
      </c>
      <c r="E198" s="184">
        <f>((C140*(1-'5.Closing Stock &amp; W Capital'!$D$16))+(B140*'5.Closing Stock &amp; W Capital'!$D$16))*$C198*E$172</f>
        <v>0</v>
      </c>
      <c r="F198" s="184">
        <f>((D140*(1-'5.Closing Stock &amp; W Capital'!$D$16))+(C140*'5.Closing Stock &amp; W Capital'!$D$16))*$C198*F$172</f>
        <v>0</v>
      </c>
      <c r="G198" s="184">
        <f>((E140*(1-'5.Closing Stock &amp; W Capital'!$D$16))+(D140*'5.Closing Stock &amp; W Capital'!$D$16))*$C198*G$172</f>
        <v>0</v>
      </c>
      <c r="H198" s="184">
        <f>((F140*(1-'5.Closing Stock &amp; W Capital'!$D$16))+(E140*'5.Closing Stock &amp; W Capital'!$D$16))*$C198*H$172</f>
        <v>0</v>
      </c>
      <c r="I198" s="184">
        <f>((G140*(1-'5.Closing Stock &amp; W Capital'!$D$16))+(F140*'5.Closing Stock &amp; W Capital'!$D$16))*$C198*I$172</f>
        <v>0</v>
      </c>
      <c r="J198" s="184">
        <f>((H140*(1-'5.Closing Stock &amp; W Capital'!$D$16))+(G140*'5.Closing Stock &amp; W Capital'!$D$16))*$C198*J$172</f>
        <v>0</v>
      </c>
      <c r="K198" s="150"/>
      <c r="L198" s="150"/>
    </row>
    <row r="199" spans="1:12" hidden="1" x14ac:dyDescent="0.25">
      <c r="A199" s="109"/>
      <c r="B199" s="109" t="s">
        <v>352</v>
      </c>
      <c r="C199" s="154"/>
      <c r="D199" s="184">
        <f>(B141*(1-'5.Closing Stock &amp; W Capital'!$D$16))*$C199*D$172</f>
        <v>0</v>
      </c>
      <c r="E199" s="184">
        <f>((C141*(1-'5.Closing Stock &amp; W Capital'!$D$16))+(B141*'5.Closing Stock &amp; W Capital'!$D$16))*$C199*E$172</f>
        <v>0</v>
      </c>
      <c r="F199" s="184">
        <f>((D141*(1-'5.Closing Stock &amp; W Capital'!$D$16))+(C141*'5.Closing Stock &amp; W Capital'!$D$16))*$C199*F$172</f>
        <v>0</v>
      </c>
      <c r="G199" s="184">
        <f>((E141*(1-'5.Closing Stock &amp; W Capital'!$D$16))+(D141*'5.Closing Stock &amp; W Capital'!$D$16))*$C199*G$172</f>
        <v>0</v>
      </c>
      <c r="H199" s="184">
        <f>((F141*(1-'5.Closing Stock &amp; W Capital'!$D$16))+(E141*'5.Closing Stock &amp; W Capital'!$D$16))*$C199*H$172</f>
        <v>0</v>
      </c>
      <c r="I199" s="184">
        <f>((G141*(1-'5.Closing Stock &amp; W Capital'!$D$16))+(F141*'5.Closing Stock &amp; W Capital'!$D$16))*$C199*I$172</f>
        <v>0</v>
      </c>
      <c r="J199" s="184">
        <f>((H141*(1-'5.Closing Stock &amp; W Capital'!$D$16))+(G141*'5.Closing Stock &amp; W Capital'!$D$16))*$C199*J$172</f>
        <v>0</v>
      </c>
      <c r="K199" s="150"/>
      <c r="L199" s="150"/>
    </row>
    <row r="200" spans="1:12" x14ac:dyDescent="0.25">
      <c r="A200" s="113" t="s">
        <v>287</v>
      </c>
      <c r="B200" s="109" t="s">
        <v>352</v>
      </c>
      <c r="C200" s="118">
        <v>80</v>
      </c>
      <c r="D200" s="184">
        <f t="shared" ref="D200:J200" si="29">B65*$C$200*D172</f>
        <v>941095.94040000008</v>
      </c>
      <c r="E200" s="184">
        <f t="shared" si="29"/>
        <v>1086965.8111620001</v>
      </c>
      <c r="F200" s="184">
        <f t="shared" si="29"/>
        <v>1210484.6533395001</v>
      </c>
      <c r="G200" s="184">
        <f t="shared" si="29"/>
        <v>1343637.9652068452</v>
      </c>
      <c r="H200" s="184">
        <f t="shared" si="29"/>
        <v>1487080.3966275763</v>
      </c>
      <c r="I200" s="184">
        <f t="shared" si="29"/>
        <v>1641507.976277363</v>
      </c>
      <c r="J200" s="184">
        <f t="shared" si="29"/>
        <v>1807660.6129005598</v>
      </c>
      <c r="K200" s="150"/>
      <c r="L200" s="150"/>
    </row>
    <row r="201" spans="1:12" x14ac:dyDescent="0.25">
      <c r="A201" s="113"/>
      <c r="B201" s="113"/>
      <c r="C201" s="113"/>
      <c r="D201" s="109"/>
      <c r="E201" s="109"/>
      <c r="F201" s="109"/>
      <c r="G201" s="109"/>
      <c r="H201" s="109"/>
      <c r="I201" s="109"/>
      <c r="J201" s="109"/>
      <c r="K201" s="150"/>
      <c r="L201" s="150"/>
    </row>
    <row r="202" spans="1:12" x14ac:dyDescent="0.25">
      <c r="A202" s="113" t="str">
        <f t="shared" ref="A202:A227" si="30">A143</f>
        <v>Fruit  &amp; Vegetables Crop Production Details</v>
      </c>
      <c r="B202" s="113"/>
      <c r="C202" s="113"/>
      <c r="D202" s="109"/>
      <c r="E202" s="109"/>
      <c r="F202" s="109"/>
      <c r="G202" s="109"/>
      <c r="H202" s="109"/>
      <c r="I202" s="109"/>
      <c r="J202" s="109"/>
      <c r="K202" s="150"/>
      <c r="L202" s="150"/>
    </row>
    <row r="203" spans="1:12" hidden="1" x14ac:dyDescent="0.25">
      <c r="A203" s="113" t="str">
        <f t="shared" si="30"/>
        <v>Onion</v>
      </c>
      <c r="B203" s="109" t="s">
        <v>352</v>
      </c>
      <c r="C203" s="185">
        <v>2000</v>
      </c>
      <c r="D203" s="184">
        <f>(B144*(1-'5.Closing Stock &amp; W Capital'!$D$16))*$C203*D$172</f>
        <v>0</v>
      </c>
      <c r="E203" s="184">
        <f>((C144*(1-'5.Closing Stock &amp; W Capital'!$D$16))+(B144*'5.Closing Stock &amp; W Capital'!$D$16))*$C203*E$172</f>
        <v>0</v>
      </c>
      <c r="F203" s="184">
        <f>((D144*(1-'5.Closing Stock &amp; W Capital'!$D$16))+(C144*'5.Closing Stock &amp; W Capital'!$D$16))*$C203*F$172</f>
        <v>0</v>
      </c>
      <c r="G203" s="184">
        <f>((E144*(1-'5.Closing Stock &amp; W Capital'!$D$16))+(D144*'5.Closing Stock &amp; W Capital'!$D$16))*$C203*G$172</f>
        <v>0</v>
      </c>
      <c r="H203" s="184">
        <f>((F144*(1-'5.Closing Stock &amp; W Capital'!$D$16))+(E144*'5.Closing Stock &amp; W Capital'!$D$16))*$C203*H$172</f>
        <v>0</v>
      </c>
      <c r="I203" s="184">
        <f>((G144*(1-'5.Closing Stock &amp; W Capital'!$D$16))+(F144*'5.Closing Stock &amp; W Capital'!$D$16))*$C203*I$172</f>
        <v>0</v>
      </c>
      <c r="J203" s="184">
        <f>((H144*(1-'5.Closing Stock &amp; W Capital'!$D$16))+(G144*'5.Closing Stock &amp; W Capital'!$D$16))*$C203*J$172</f>
        <v>0</v>
      </c>
      <c r="K203" s="150"/>
      <c r="L203" s="150"/>
    </row>
    <row r="204" spans="1:12" hidden="1" x14ac:dyDescent="0.25">
      <c r="A204" s="113" t="str">
        <f t="shared" si="30"/>
        <v>Tomato</v>
      </c>
      <c r="B204" s="109" t="s">
        <v>352</v>
      </c>
      <c r="C204" s="154">
        <v>1000</v>
      </c>
      <c r="D204" s="184">
        <f>(B145*(1-'5.Closing Stock &amp; W Capital'!$D$16))*$C204*D$172</f>
        <v>0</v>
      </c>
      <c r="E204" s="184">
        <f>((C145*(1-'5.Closing Stock &amp; W Capital'!$D$16))+(B145*'5.Closing Stock &amp; W Capital'!$D$16))*$C204*E$172</f>
        <v>0</v>
      </c>
      <c r="F204" s="184">
        <f>((D145*(1-'5.Closing Stock &amp; W Capital'!$D$16))+(C145*'5.Closing Stock &amp; W Capital'!$D$16))*$C204*F$172</f>
        <v>0</v>
      </c>
      <c r="G204" s="184">
        <f>((E145*(1-'5.Closing Stock &amp; W Capital'!$D$16))+(D145*'5.Closing Stock &amp; W Capital'!$D$16))*$C204*G$172</f>
        <v>0</v>
      </c>
      <c r="H204" s="184">
        <f>((F145*(1-'5.Closing Stock &amp; W Capital'!$D$16))+(E145*'5.Closing Stock &amp; W Capital'!$D$16))*$C204*H$172</f>
        <v>0</v>
      </c>
      <c r="I204" s="184">
        <f>((G145*(1-'5.Closing Stock &amp; W Capital'!$D$16))+(F145*'5.Closing Stock &amp; W Capital'!$D$16))*$C204*I$172</f>
        <v>0</v>
      </c>
      <c r="J204" s="184">
        <f>((H145*(1-'5.Closing Stock &amp; W Capital'!$D$16))+(G145*'5.Closing Stock &amp; W Capital'!$D$16))*$C204*J$172</f>
        <v>0</v>
      </c>
      <c r="K204" s="150"/>
      <c r="L204" s="150"/>
    </row>
    <row r="205" spans="1:12" hidden="1" x14ac:dyDescent="0.25">
      <c r="A205" s="113" t="str">
        <f t="shared" si="30"/>
        <v>Okra</v>
      </c>
      <c r="B205" s="109" t="s">
        <v>352</v>
      </c>
      <c r="C205" s="154">
        <v>1500</v>
      </c>
      <c r="D205" s="184">
        <f>(B146*(1-'5.Closing Stock &amp; W Capital'!$D$16))*$C205*D$172</f>
        <v>0</v>
      </c>
      <c r="E205" s="184">
        <f>((C146*(1-'5.Closing Stock &amp; W Capital'!$D$16))+(B146*'5.Closing Stock &amp; W Capital'!$D$16))*$C205*E$172</f>
        <v>0</v>
      </c>
      <c r="F205" s="184">
        <f>((D146*(1-'5.Closing Stock &amp; W Capital'!$D$16))+(C146*'5.Closing Stock &amp; W Capital'!$D$16))*$C205*F$172</f>
        <v>0</v>
      </c>
      <c r="G205" s="184">
        <f>((E146*(1-'5.Closing Stock &amp; W Capital'!$D$16))+(D146*'5.Closing Stock &amp; W Capital'!$D$16))*$C205*G$172</f>
        <v>0</v>
      </c>
      <c r="H205" s="184">
        <f>((F146*(1-'5.Closing Stock &amp; W Capital'!$D$16))+(E146*'5.Closing Stock &amp; W Capital'!$D$16))*$C205*H$172</f>
        <v>0</v>
      </c>
      <c r="I205" s="184">
        <f>((G146*(1-'5.Closing Stock &amp; W Capital'!$D$16))+(F146*'5.Closing Stock &amp; W Capital'!$D$16))*$C205*I$172</f>
        <v>0</v>
      </c>
      <c r="J205" s="184">
        <f>((H146*(1-'5.Closing Stock &amp; W Capital'!$D$16))+(G146*'5.Closing Stock &amp; W Capital'!$D$16))*$C205*J$172</f>
        <v>0</v>
      </c>
      <c r="K205" s="150"/>
      <c r="L205" s="150"/>
    </row>
    <row r="206" spans="1:12" hidden="1" x14ac:dyDescent="0.25">
      <c r="A206" s="113" t="str">
        <f t="shared" si="30"/>
        <v>Chilli</v>
      </c>
      <c r="B206" s="109" t="s">
        <v>352</v>
      </c>
      <c r="C206" s="154">
        <v>3000</v>
      </c>
      <c r="D206" s="184">
        <f>(B147*(1-'5.Closing Stock &amp; W Capital'!$D$16))*$C206*D$172</f>
        <v>0</v>
      </c>
      <c r="E206" s="184">
        <f>((C147*(1-'5.Closing Stock &amp; W Capital'!$D$16))+(B147*'5.Closing Stock &amp; W Capital'!$D$16))*$C206*E$172</f>
        <v>0</v>
      </c>
      <c r="F206" s="184">
        <f>((D147*(1-'5.Closing Stock &amp; W Capital'!$D$16))+(C147*'5.Closing Stock &amp; W Capital'!$D$16))*$C206*F$172</f>
        <v>0</v>
      </c>
      <c r="G206" s="184">
        <f>((E147*(1-'5.Closing Stock &amp; W Capital'!$D$16))+(D147*'5.Closing Stock &amp; W Capital'!$D$16))*$C206*G$172</f>
        <v>0</v>
      </c>
      <c r="H206" s="184">
        <f>((F147*(1-'5.Closing Stock &amp; W Capital'!$D$16))+(E147*'5.Closing Stock &amp; W Capital'!$D$16))*$C206*H$172</f>
        <v>0</v>
      </c>
      <c r="I206" s="184">
        <f>((G147*(1-'5.Closing Stock &amp; W Capital'!$D$16))+(F147*'5.Closing Stock &amp; W Capital'!$D$16))*$C206*I$172</f>
        <v>0</v>
      </c>
      <c r="J206" s="184">
        <f>((H147*(1-'5.Closing Stock &amp; W Capital'!$D$16))+(G147*'5.Closing Stock &amp; W Capital'!$D$16))*$C206*J$172</f>
        <v>0</v>
      </c>
      <c r="K206" s="150"/>
      <c r="L206" s="150"/>
    </row>
    <row r="207" spans="1:12" hidden="1" x14ac:dyDescent="0.25">
      <c r="A207" s="113" t="str">
        <f t="shared" si="30"/>
        <v>Potato</v>
      </c>
      <c r="B207" s="109" t="s">
        <v>352</v>
      </c>
      <c r="C207" s="154">
        <v>1500</v>
      </c>
      <c r="D207" s="184">
        <f>(B148*(1-'5.Closing Stock &amp; W Capital'!$D$16))*$C207*D$172</f>
        <v>0</v>
      </c>
      <c r="E207" s="184">
        <f>((C148*(1-'5.Closing Stock &amp; W Capital'!$D$16))+(B148*'5.Closing Stock &amp; W Capital'!$D$16))*$C207*E$172</f>
        <v>0</v>
      </c>
      <c r="F207" s="184">
        <f>((D148*(1-'5.Closing Stock &amp; W Capital'!$D$16))+(C148*'5.Closing Stock &amp; W Capital'!$D$16))*$C207*F$172</f>
        <v>0</v>
      </c>
      <c r="G207" s="184">
        <f>((E148*(1-'5.Closing Stock &amp; W Capital'!$D$16))+(D148*'5.Closing Stock &amp; W Capital'!$D$16))*$C207*G$172</f>
        <v>0</v>
      </c>
      <c r="H207" s="184">
        <f>((F148*(1-'5.Closing Stock &amp; W Capital'!$D$16))+(E148*'5.Closing Stock &amp; W Capital'!$D$16))*$C207*H$172</f>
        <v>0</v>
      </c>
      <c r="I207" s="184">
        <f>((G148*(1-'5.Closing Stock &amp; W Capital'!$D$16))+(F148*'5.Closing Stock &amp; W Capital'!$D$16))*$C207*I$172</f>
        <v>0</v>
      </c>
      <c r="J207" s="184">
        <f>((H148*(1-'5.Closing Stock &amp; W Capital'!$D$16))+(G148*'5.Closing Stock &amp; W Capital'!$D$16))*$C207*J$172</f>
        <v>0</v>
      </c>
      <c r="K207" s="150"/>
      <c r="L207" s="150"/>
    </row>
    <row r="208" spans="1:12" hidden="1" x14ac:dyDescent="0.25">
      <c r="A208" s="113">
        <f t="shared" si="30"/>
        <v>0</v>
      </c>
      <c r="B208" s="109" t="s">
        <v>352</v>
      </c>
      <c r="C208" s="118"/>
      <c r="D208" s="184">
        <f>(B149*(1-'5.Closing Stock &amp; W Capital'!$D$16))*$C208*D$172</f>
        <v>0</v>
      </c>
      <c r="E208" s="184">
        <f>((C149*(1-'5.Closing Stock &amp; W Capital'!$D$16))+(B149*'5.Closing Stock &amp; W Capital'!$D$16))*$C208*E$172</f>
        <v>0</v>
      </c>
      <c r="F208" s="184">
        <f>((D149*(1-'5.Closing Stock &amp; W Capital'!$D$16))+(C149*'5.Closing Stock &amp; W Capital'!$D$16))*$C208*F$172</f>
        <v>0</v>
      </c>
      <c r="G208" s="184">
        <f>((E149*(1-'5.Closing Stock &amp; W Capital'!$D$16))+(D149*'5.Closing Stock &amp; W Capital'!$D$16))*$C208*G$172</f>
        <v>0</v>
      </c>
      <c r="H208" s="184">
        <f>((F149*(1-'5.Closing Stock &amp; W Capital'!$D$16))+(E149*'5.Closing Stock &amp; W Capital'!$D$16))*$C208*H$172</f>
        <v>0</v>
      </c>
      <c r="I208" s="184">
        <f>((G149*(1-'5.Closing Stock &amp; W Capital'!$D$16))+(F149*'5.Closing Stock &amp; W Capital'!$D$16))*$C208*I$172</f>
        <v>0</v>
      </c>
      <c r="J208" s="184">
        <f>((H149*(1-'5.Closing Stock &amp; W Capital'!$D$16))+(G149*'5.Closing Stock &amp; W Capital'!$D$16))*$C208*J$172</f>
        <v>0</v>
      </c>
      <c r="K208" s="150"/>
      <c r="L208" s="150"/>
    </row>
    <row r="209" spans="1:12" hidden="1" x14ac:dyDescent="0.25">
      <c r="A209" s="113">
        <f t="shared" si="30"/>
        <v>0</v>
      </c>
      <c r="B209" s="109" t="s">
        <v>352</v>
      </c>
      <c r="C209" s="118"/>
      <c r="D209" s="184">
        <f>(B150*(1-'5.Closing Stock &amp; W Capital'!$D$16))*$C209*D$172</f>
        <v>0</v>
      </c>
      <c r="E209" s="184">
        <f>((C150*(1-'5.Closing Stock &amp; W Capital'!$D$16))+(B150*'5.Closing Stock &amp; W Capital'!$D$16))*$C209*E$172</f>
        <v>0</v>
      </c>
      <c r="F209" s="184">
        <f>((D150*(1-'5.Closing Stock &amp; W Capital'!$D$16))+(C150*'5.Closing Stock &amp; W Capital'!$D$16))*$C209*F$172</f>
        <v>0</v>
      </c>
      <c r="G209" s="184">
        <f>((E150*(1-'5.Closing Stock &amp; W Capital'!$D$16))+(D150*'5.Closing Stock &amp; W Capital'!$D$16))*$C209*G$172</f>
        <v>0</v>
      </c>
      <c r="H209" s="184">
        <f>((F150*(1-'5.Closing Stock &amp; W Capital'!$D$16))+(E150*'5.Closing Stock &amp; W Capital'!$D$16))*$C209*H$172</f>
        <v>0</v>
      </c>
      <c r="I209" s="184">
        <f>((G150*(1-'5.Closing Stock &amp; W Capital'!$D$16))+(F150*'5.Closing Stock &amp; W Capital'!$D$16))*$C209*I$172</f>
        <v>0</v>
      </c>
      <c r="J209" s="184">
        <f>((H150*(1-'5.Closing Stock &amp; W Capital'!$D$16))+(G150*'5.Closing Stock &amp; W Capital'!$D$16))*$C209*J$172</f>
        <v>0</v>
      </c>
      <c r="K209" s="150"/>
      <c r="L209" s="150"/>
    </row>
    <row r="210" spans="1:12" hidden="1" x14ac:dyDescent="0.25">
      <c r="A210" s="113">
        <f t="shared" si="30"/>
        <v>0</v>
      </c>
      <c r="B210" s="109" t="s">
        <v>352</v>
      </c>
      <c r="C210" s="118"/>
      <c r="D210" s="184">
        <f>(B151*(1-'5.Closing Stock &amp; W Capital'!$D$16))*$C210*D$172</f>
        <v>0</v>
      </c>
      <c r="E210" s="184">
        <f>((C151*(1-'5.Closing Stock &amp; W Capital'!$D$16))+(B151*'5.Closing Stock &amp; W Capital'!$D$16))*$C210*E$172</f>
        <v>0</v>
      </c>
      <c r="F210" s="184">
        <f>((D151*(1-'5.Closing Stock &amp; W Capital'!$D$16))+(C151*'5.Closing Stock &amp; W Capital'!$D$16))*$C210*F$172</f>
        <v>0</v>
      </c>
      <c r="G210" s="184">
        <f>((E151*(1-'5.Closing Stock &amp; W Capital'!$D$16))+(D151*'5.Closing Stock &amp; W Capital'!$D$16))*$C210*G$172</f>
        <v>0</v>
      </c>
      <c r="H210" s="184">
        <f>((F151*(1-'5.Closing Stock &amp; W Capital'!$D$16))+(E151*'5.Closing Stock &amp; W Capital'!$D$16))*$C210*H$172</f>
        <v>0</v>
      </c>
      <c r="I210" s="184">
        <f>((G151*(1-'5.Closing Stock &amp; W Capital'!$D$16))+(F151*'5.Closing Stock &amp; W Capital'!$D$16))*$C210*I$172</f>
        <v>0</v>
      </c>
      <c r="J210" s="184">
        <f>((H151*(1-'5.Closing Stock &amp; W Capital'!$D$16))+(G151*'5.Closing Stock &amp; W Capital'!$D$16))*$C210*J$172</f>
        <v>0</v>
      </c>
      <c r="K210" s="150"/>
      <c r="L210" s="150"/>
    </row>
    <row r="211" spans="1:12" hidden="1" x14ac:dyDescent="0.25">
      <c r="A211" s="113">
        <f t="shared" si="30"/>
        <v>0</v>
      </c>
      <c r="B211" s="109" t="s">
        <v>352</v>
      </c>
      <c r="C211" s="118"/>
      <c r="D211" s="184">
        <f>(B152*(1-'5.Closing Stock &amp; W Capital'!$D$16))*$C211*D$172</f>
        <v>0</v>
      </c>
      <c r="E211" s="184">
        <f>((C152*(1-'5.Closing Stock &amp; W Capital'!$D$16))+(B152*'5.Closing Stock &amp; W Capital'!$D$16))*$C211*E$172</f>
        <v>0</v>
      </c>
      <c r="F211" s="184">
        <f>((D152*(1-'5.Closing Stock &amp; W Capital'!$D$16))+(C152*'5.Closing Stock &amp; W Capital'!$D$16))*$C211*F$172</f>
        <v>0</v>
      </c>
      <c r="G211" s="184">
        <f>((E152*(1-'5.Closing Stock &amp; W Capital'!$D$16))+(D152*'5.Closing Stock &amp; W Capital'!$D$16))*$C211*G$172</f>
        <v>0</v>
      </c>
      <c r="H211" s="184">
        <f>((F152*(1-'5.Closing Stock &amp; W Capital'!$D$16))+(E152*'5.Closing Stock &amp; W Capital'!$D$16))*$C211*H$172</f>
        <v>0</v>
      </c>
      <c r="I211" s="184">
        <f>((G152*(1-'5.Closing Stock &amp; W Capital'!$D$16))+(F152*'5.Closing Stock &amp; W Capital'!$D$16))*$C211*I$172</f>
        <v>0</v>
      </c>
      <c r="J211" s="184">
        <f>((H152*(1-'5.Closing Stock &amp; W Capital'!$D$16))+(G152*'5.Closing Stock &amp; W Capital'!$D$16))*$C211*J$172</f>
        <v>0</v>
      </c>
      <c r="K211" s="150"/>
      <c r="L211" s="150"/>
    </row>
    <row r="212" spans="1:12" hidden="1" x14ac:dyDescent="0.25">
      <c r="A212" s="113" t="str">
        <f t="shared" si="30"/>
        <v>Onion</v>
      </c>
      <c r="B212" s="109" t="s">
        <v>352</v>
      </c>
      <c r="C212" s="154">
        <v>2000</v>
      </c>
      <c r="D212" s="184">
        <f>(B153*(1-'5.Closing Stock &amp; W Capital'!$D$16))*$C212*D$172</f>
        <v>0</v>
      </c>
      <c r="E212" s="184">
        <f>((C153*(1-'5.Closing Stock &amp; W Capital'!$D$16))+(B153*'5.Closing Stock &amp; W Capital'!$D$16))*$C212*E$172</f>
        <v>0</v>
      </c>
      <c r="F212" s="184">
        <f>((D153*(1-'5.Closing Stock &amp; W Capital'!$D$16))+(C153*'5.Closing Stock &amp; W Capital'!$D$16))*$C212*F$172</f>
        <v>0</v>
      </c>
      <c r="G212" s="184">
        <f>((E153*(1-'5.Closing Stock &amp; W Capital'!$D$16))+(D153*'5.Closing Stock &amp; W Capital'!$D$16))*$C212*G$172</f>
        <v>0</v>
      </c>
      <c r="H212" s="184">
        <f>((F153*(1-'5.Closing Stock &amp; W Capital'!$D$16))+(E153*'5.Closing Stock &amp; W Capital'!$D$16))*$C212*H$172</f>
        <v>0</v>
      </c>
      <c r="I212" s="184">
        <f>((G153*(1-'5.Closing Stock &amp; W Capital'!$D$16))+(F153*'5.Closing Stock &amp; W Capital'!$D$16))*$C212*I$172</f>
        <v>0</v>
      </c>
      <c r="J212" s="184">
        <f>((H153*(1-'5.Closing Stock &amp; W Capital'!$D$16))+(G153*'5.Closing Stock &amp; W Capital'!$D$16))*$C212*J$172</f>
        <v>0</v>
      </c>
      <c r="K212" s="150"/>
      <c r="L212" s="150"/>
    </row>
    <row r="213" spans="1:12" hidden="1" x14ac:dyDescent="0.25">
      <c r="A213" s="113" t="str">
        <f t="shared" si="30"/>
        <v>Tomato</v>
      </c>
      <c r="B213" s="109" t="s">
        <v>352</v>
      </c>
      <c r="C213" s="154">
        <v>1000</v>
      </c>
      <c r="D213" s="184">
        <f>(B154*(1-'5.Closing Stock &amp; W Capital'!$D$16))*$C213*D$172</f>
        <v>0</v>
      </c>
      <c r="E213" s="184">
        <f>((C154*(1-'5.Closing Stock &amp; W Capital'!$D$16))+(B154*'5.Closing Stock &amp; W Capital'!$D$16))*$C213*E$172</f>
        <v>0</v>
      </c>
      <c r="F213" s="184">
        <f>((D154*(1-'5.Closing Stock &amp; W Capital'!$D$16))+(C154*'5.Closing Stock &amp; W Capital'!$D$16))*$C213*F$172</f>
        <v>0</v>
      </c>
      <c r="G213" s="184">
        <f>((E154*(1-'5.Closing Stock &amp; W Capital'!$D$16))+(D154*'5.Closing Stock &amp; W Capital'!$D$16))*$C213*G$172</f>
        <v>0</v>
      </c>
      <c r="H213" s="184">
        <f>((F154*(1-'5.Closing Stock &amp; W Capital'!$D$16))+(E154*'5.Closing Stock &amp; W Capital'!$D$16))*$C213*H$172</f>
        <v>0</v>
      </c>
      <c r="I213" s="184">
        <f>((G154*(1-'5.Closing Stock &amp; W Capital'!$D$16))+(F154*'5.Closing Stock &amp; W Capital'!$D$16))*$C213*I$172</f>
        <v>0</v>
      </c>
      <c r="J213" s="184">
        <f>((H154*(1-'5.Closing Stock &amp; W Capital'!$D$16))+(G154*'5.Closing Stock &amp; W Capital'!$D$16))*$C213*J$172</f>
        <v>0</v>
      </c>
      <c r="K213" s="150"/>
      <c r="L213" s="150"/>
    </row>
    <row r="214" spans="1:12" hidden="1" x14ac:dyDescent="0.25">
      <c r="A214" s="113" t="str">
        <f t="shared" si="30"/>
        <v>Okra</v>
      </c>
      <c r="B214" s="109" t="s">
        <v>352</v>
      </c>
      <c r="C214" s="154">
        <v>1500</v>
      </c>
      <c r="D214" s="184">
        <f>(B155*(1-'5.Closing Stock &amp; W Capital'!$D$16))*$C214*D$172</f>
        <v>0</v>
      </c>
      <c r="E214" s="184">
        <f>((C155*(1-'5.Closing Stock &amp; W Capital'!$D$16))+(B155*'5.Closing Stock &amp; W Capital'!$D$16))*$C214*E$172</f>
        <v>0</v>
      </c>
      <c r="F214" s="184">
        <f>((D155*(1-'5.Closing Stock &amp; W Capital'!$D$16))+(C155*'5.Closing Stock &amp; W Capital'!$D$16))*$C214*F$172</f>
        <v>0</v>
      </c>
      <c r="G214" s="184">
        <f>((E155*(1-'5.Closing Stock &amp; W Capital'!$D$16))+(D155*'5.Closing Stock &amp; W Capital'!$D$16))*$C214*G$172</f>
        <v>0</v>
      </c>
      <c r="H214" s="184">
        <f>((F155*(1-'5.Closing Stock &amp; W Capital'!$D$16))+(E155*'5.Closing Stock &amp; W Capital'!$D$16))*$C214*H$172</f>
        <v>0</v>
      </c>
      <c r="I214" s="184">
        <f>((G155*(1-'5.Closing Stock &amp; W Capital'!$D$16))+(F155*'5.Closing Stock &amp; W Capital'!$D$16))*$C214*I$172</f>
        <v>0</v>
      </c>
      <c r="J214" s="184">
        <f>((H155*(1-'5.Closing Stock &amp; W Capital'!$D$16))+(G155*'5.Closing Stock &amp; W Capital'!$D$16))*$C214*J$172</f>
        <v>0</v>
      </c>
      <c r="K214" s="150"/>
      <c r="L214" s="150"/>
    </row>
    <row r="215" spans="1:12" hidden="1" x14ac:dyDescent="0.25">
      <c r="A215" s="113" t="str">
        <f t="shared" si="30"/>
        <v>Chilli</v>
      </c>
      <c r="B215" s="109" t="s">
        <v>352</v>
      </c>
      <c r="C215" s="154">
        <v>3000</v>
      </c>
      <c r="D215" s="184">
        <f>(B156*(1-'5.Closing Stock &amp; W Capital'!$D$16))*$C215*D$172</f>
        <v>0</v>
      </c>
      <c r="E215" s="184">
        <f>((C156*(1-'5.Closing Stock &amp; W Capital'!$D$16))+(B156*'5.Closing Stock &amp; W Capital'!$D$16))*$C215*E$172</f>
        <v>0</v>
      </c>
      <c r="F215" s="184">
        <f>((D156*(1-'5.Closing Stock &amp; W Capital'!$D$16))+(C156*'5.Closing Stock &amp; W Capital'!$D$16))*$C215*F$172</f>
        <v>0</v>
      </c>
      <c r="G215" s="184">
        <f>((E156*(1-'5.Closing Stock &amp; W Capital'!$D$16))+(D156*'5.Closing Stock &amp; W Capital'!$D$16))*$C215*G$172</f>
        <v>0</v>
      </c>
      <c r="H215" s="184">
        <f>((F156*(1-'5.Closing Stock &amp; W Capital'!$D$16))+(E156*'5.Closing Stock &amp; W Capital'!$D$16))*$C215*H$172</f>
        <v>0</v>
      </c>
      <c r="I215" s="184">
        <f>((G156*(1-'5.Closing Stock &amp; W Capital'!$D$16))+(F156*'5.Closing Stock &amp; W Capital'!$D$16))*$C215*I$172</f>
        <v>0</v>
      </c>
      <c r="J215" s="184">
        <f>((H156*(1-'5.Closing Stock &amp; W Capital'!$D$16))+(G156*'5.Closing Stock &amp; W Capital'!$D$16))*$C215*J$172</f>
        <v>0</v>
      </c>
      <c r="K215" s="150"/>
      <c r="L215" s="150"/>
    </row>
    <row r="216" spans="1:12" hidden="1" x14ac:dyDescent="0.25">
      <c r="A216" s="113" t="str">
        <f t="shared" si="30"/>
        <v>Brinjal</v>
      </c>
      <c r="B216" s="109" t="s">
        <v>352</v>
      </c>
      <c r="C216" s="154">
        <v>2000</v>
      </c>
      <c r="D216" s="184">
        <f>(B157*(1-'5.Closing Stock &amp; W Capital'!$D$16))*$C216*D$172</f>
        <v>0</v>
      </c>
      <c r="E216" s="184">
        <f>((C157*(1-'5.Closing Stock &amp; W Capital'!$D$16))+(B157*'5.Closing Stock &amp; W Capital'!$D$16))*$C216*E$172</f>
        <v>0</v>
      </c>
      <c r="F216" s="184">
        <f>((D157*(1-'5.Closing Stock &amp; W Capital'!$D$16))+(C157*'5.Closing Stock &amp; W Capital'!$D$16))*$C216*F$172</f>
        <v>0</v>
      </c>
      <c r="G216" s="184">
        <f>((E157*(1-'5.Closing Stock &amp; W Capital'!$D$16))+(D157*'5.Closing Stock &amp; W Capital'!$D$16))*$C216*G$172</f>
        <v>0</v>
      </c>
      <c r="H216" s="184">
        <f>((F157*(1-'5.Closing Stock &amp; W Capital'!$D$16))+(E157*'5.Closing Stock &amp; W Capital'!$D$16))*$C216*H$172</f>
        <v>0</v>
      </c>
      <c r="I216" s="184">
        <f>((G157*(1-'5.Closing Stock &amp; W Capital'!$D$16))+(F157*'5.Closing Stock &amp; W Capital'!$D$16))*$C216*I$172</f>
        <v>0</v>
      </c>
      <c r="J216" s="184">
        <f>((H157*(1-'5.Closing Stock &amp; W Capital'!$D$16))+(G157*'5.Closing Stock &amp; W Capital'!$D$16))*$C216*J$172</f>
        <v>0</v>
      </c>
      <c r="K216" s="150"/>
      <c r="L216" s="150"/>
    </row>
    <row r="217" spans="1:12" hidden="1" x14ac:dyDescent="0.25">
      <c r="A217" s="113">
        <f t="shared" si="30"/>
        <v>0</v>
      </c>
      <c r="B217" s="109" t="s">
        <v>352</v>
      </c>
      <c r="C217" s="154"/>
      <c r="D217" s="184">
        <f>(B158*(1-'5.Closing Stock &amp; W Capital'!$D$16))*$C217*D$172</f>
        <v>0</v>
      </c>
      <c r="E217" s="184">
        <f>((C158*(1-'5.Closing Stock &amp; W Capital'!$D$16))+(B158*'5.Closing Stock &amp; W Capital'!$D$16))*$C217*E$172</f>
        <v>0</v>
      </c>
      <c r="F217" s="184">
        <f>((D158*(1-'5.Closing Stock &amp; W Capital'!$D$16))+(C158*'5.Closing Stock &amp; W Capital'!$D$16))*$C217*F$172</f>
        <v>0</v>
      </c>
      <c r="G217" s="184">
        <f>((E158*(1-'5.Closing Stock &amp; W Capital'!$D$16))+(D158*'5.Closing Stock &amp; W Capital'!$D$16))*$C217*G$172</f>
        <v>0</v>
      </c>
      <c r="H217" s="184">
        <f>((F158*(1-'5.Closing Stock &amp; W Capital'!$D$16))+(E158*'5.Closing Stock &amp; W Capital'!$D$16))*$C217*H$172</f>
        <v>0</v>
      </c>
      <c r="I217" s="184">
        <f>((G158*(1-'5.Closing Stock &amp; W Capital'!$D$16))+(F158*'5.Closing Stock &amp; W Capital'!$D$16))*$C217*I$172</f>
        <v>0</v>
      </c>
      <c r="J217" s="184">
        <f>((H158*(1-'5.Closing Stock &amp; W Capital'!$D$16))+(G158*'5.Closing Stock &amp; W Capital'!$D$16))*$C217*J$172</f>
        <v>0</v>
      </c>
      <c r="K217" s="150"/>
      <c r="L217" s="150"/>
    </row>
    <row r="218" spans="1:12" hidden="1" x14ac:dyDescent="0.25">
      <c r="A218" s="113">
        <f t="shared" si="30"/>
        <v>0</v>
      </c>
      <c r="B218" s="109" t="s">
        <v>352</v>
      </c>
      <c r="C218" s="154"/>
      <c r="D218" s="184">
        <f>(B159*(1-'5.Closing Stock &amp; W Capital'!$D$16))*$C218*D$172</f>
        <v>0</v>
      </c>
      <c r="E218" s="184">
        <f>((C159*(1-'5.Closing Stock &amp; W Capital'!$D$16))+(B159*'5.Closing Stock &amp; W Capital'!$D$16))*$C218*E$172</f>
        <v>0</v>
      </c>
      <c r="F218" s="184">
        <f>((D159*(1-'5.Closing Stock &amp; W Capital'!$D$16))+(C159*'5.Closing Stock &amp; W Capital'!$D$16))*$C218*F$172</f>
        <v>0</v>
      </c>
      <c r="G218" s="184">
        <f>((E159*(1-'5.Closing Stock &amp; W Capital'!$D$16))+(D159*'5.Closing Stock &amp; W Capital'!$D$16))*$C218*G$172</f>
        <v>0</v>
      </c>
      <c r="H218" s="184">
        <f>((F159*(1-'5.Closing Stock &amp; W Capital'!$D$16))+(E159*'5.Closing Stock &amp; W Capital'!$D$16))*$C218*H$172</f>
        <v>0</v>
      </c>
      <c r="I218" s="184">
        <f>((G159*(1-'5.Closing Stock &amp; W Capital'!$D$16))+(F159*'5.Closing Stock &amp; W Capital'!$D$16))*$C218*I$172</f>
        <v>0</v>
      </c>
      <c r="J218" s="184">
        <f>((H159*(1-'5.Closing Stock &amp; W Capital'!$D$16))+(G159*'5.Closing Stock &amp; W Capital'!$D$16))*$C218*J$172</f>
        <v>0</v>
      </c>
      <c r="K218" s="150"/>
      <c r="L218" s="150"/>
    </row>
    <row r="219" spans="1:12" hidden="1" x14ac:dyDescent="0.25">
      <c r="A219" s="113">
        <f t="shared" si="30"/>
        <v>0</v>
      </c>
      <c r="B219" s="109" t="s">
        <v>352</v>
      </c>
      <c r="C219" s="154"/>
      <c r="D219" s="184">
        <f>(B160*(1-'5.Closing Stock &amp; W Capital'!$D$16))*$C219*D$172</f>
        <v>0</v>
      </c>
      <c r="E219" s="184">
        <f>((C160*(1-'5.Closing Stock &amp; W Capital'!$D$16))+(B160*'5.Closing Stock &amp; W Capital'!$D$16))*$C219*E$172</f>
        <v>0</v>
      </c>
      <c r="F219" s="184">
        <f>((D160*(1-'5.Closing Stock &amp; W Capital'!$D$16))+(C160*'5.Closing Stock &amp; W Capital'!$D$16))*$C219*F$172</f>
        <v>0</v>
      </c>
      <c r="G219" s="184">
        <f>((E160*(1-'5.Closing Stock &amp; W Capital'!$D$16))+(D160*'5.Closing Stock &amp; W Capital'!$D$16))*$C219*G$172</f>
        <v>0</v>
      </c>
      <c r="H219" s="184">
        <f>((F160*(1-'5.Closing Stock &amp; W Capital'!$D$16))+(E160*'5.Closing Stock &amp; W Capital'!$D$16))*$C219*H$172</f>
        <v>0</v>
      </c>
      <c r="I219" s="184">
        <f>((G160*(1-'5.Closing Stock &amp; W Capital'!$D$16))+(F160*'5.Closing Stock &amp; W Capital'!$D$16))*$C219*I$172</f>
        <v>0</v>
      </c>
      <c r="J219" s="184">
        <f>((H160*(1-'5.Closing Stock &amp; W Capital'!$D$16))+(G160*'5.Closing Stock &amp; W Capital'!$D$16))*$C219*J$172</f>
        <v>0</v>
      </c>
      <c r="K219" s="150"/>
      <c r="L219" s="150"/>
    </row>
    <row r="220" spans="1:12" hidden="1" x14ac:dyDescent="0.25">
      <c r="A220" s="113">
        <f t="shared" si="30"/>
        <v>0</v>
      </c>
      <c r="B220" s="109" t="s">
        <v>352</v>
      </c>
      <c r="C220" s="154"/>
      <c r="D220" s="184">
        <f>(B161*(1-'5.Closing Stock &amp; W Capital'!$D$16))*$C220*D$172</f>
        <v>0</v>
      </c>
      <c r="E220" s="184">
        <f>((C161*(1-'5.Closing Stock &amp; W Capital'!$D$16))+(B161*'5.Closing Stock &amp; W Capital'!$D$16))*$C220*E$172</f>
        <v>0</v>
      </c>
      <c r="F220" s="184">
        <f>((D161*(1-'5.Closing Stock &amp; W Capital'!$D$16))+(C161*'5.Closing Stock &amp; W Capital'!$D$16))*$C220*F$172</f>
        <v>0</v>
      </c>
      <c r="G220" s="184">
        <f>((E161*(1-'5.Closing Stock &amp; W Capital'!$D$16))+(D161*'5.Closing Stock &amp; W Capital'!$D$16))*$C220*G$172</f>
        <v>0</v>
      </c>
      <c r="H220" s="184">
        <f>((F161*(1-'5.Closing Stock &amp; W Capital'!$D$16))+(E161*'5.Closing Stock &amp; W Capital'!$D$16))*$C220*H$172</f>
        <v>0</v>
      </c>
      <c r="I220" s="184">
        <f>((G161*(1-'5.Closing Stock &amp; W Capital'!$D$16))+(F161*'5.Closing Stock &amp; W Capital'!$D$16))*$C220*I$172</f>
        <v>0</v>
      </c>
      <c r="J220" s="184">
        <f>((H161*(1-'5.Closing Stock &amp; W Capital'!$D$16))+(G161*'5.Closing Stock &amp; W Capital'!$D$16))*$C220*J$172</f>
        <v>0</v>
      </c>
      <c r="K220" s="150"/>
      <c r="L220" s="150"/>
    </row>
    <row r="221" spans="1:12" hidden="1" x14ac:dyDescent="0.25">
      <c r="A221" s="113">
        <f t="shared" si="30"/>
        <v>0</v>
      </c>
      <c r="B221" s="109" t="s">
        <v>352</v>
      </c>
      <c r="C221" s="154"/>
      <c r="D221" s="184">
        <f>(B162*(1-'5.Closing Stock &amp; W Capital'!$D$16))*$C221*D$172</f>
        <v>0</v>
      </c>
      <c r="E221" s="184">
        <f>((C162*(1-'5.Closing Stock &amp; W Capital'!$D$16))+(B162*'5.Closing Stock &amp; W Capital'!$D$16))*$C221*E$172</f>
        <v>0</v>
      </c>
      <c r="F221" s="184">
        <f>((D162*(1-'5.Closing Stock &amp; W Capital'!$D$16))+(C162*'5.Closing Stock &amp; W Capital'!$D$16))*$C221*F$172</f>
        <v>0</v>
      </c>
      <c r="G221" s="184">
        <f>((E162*(1-'5.Closing Stock &amp; W Capital'!$D$16))+(D162*'5.Closing Stock &amp; W Capital'!$D$16))*$C221*G$172</f>
        <v>0</v>
      </c>
      <c r="H221" s="184">
        <f>((F162*(1-'5.Closing Stock &amp; W Capital'!$D$16))+(E162*'5.Closing Stock &amp; W Capital'!$D$16))*$C221*H$172</f>
        <v>0</v>
      </c>
      <c r="I221" s="184">
        <f>((G162*(1-'5.Closing Stock &amp; W Capital'!$D$16))+(F162*'5.Closing Stock &amp; W Capital'!$D$16))*$C221*I$172</f>
        <v>0</v>
      </c>
      <c r="J221" s="184">
        <f>((H162*(1-'5.Closing Stock &amp; W Capital'!$D$16))+(G162*'5.Closing Stock &amp; W Capital'!$D$16))*$C221*J$172</f>
        <v>0</v>
      </c>
      <c r="K221" s="150"/>
      <c r="L221" s="150"/>
    </row>
    <row r="222" spans="1:12" hidden="1" x14ac:dyDescent="0.25">
      <c r="A222" s="113">
        <f t="shared" si="30"/>
        <v>0</v>
      </c>
      <c r="B222" s="109" t="s">
        <v>352</v>
      </c>
      <c r="C222" s="154"/>
      <c r="D222" s="184">
        <f>(B163*(1-'5.Closing Stock &amp; W Capital'!$D$16))*$C222*D$172</f>
        <v>0</v>
      </c>
      <c r="E222" s="184">
        <f>((C163*(1-'5.Closing Stock &amp; W Capital'!$D$16))+(B163*'5.Closing Stock &amp; W Capital'!$D$16))*$C222*E$172</f>
        <v>0</v>
      </c>
      <c r="F222" s="184">
        <f>((D163*(1-'5.Closing Stock &amp; W Capital'!$D$16))+(C163*'5.Closing Stock &amp; W Capital'!$D$16))*$C222*F$172</f>
        <v>0</v>
      </c>
      <c r="G222" s="184">
        <f>((E163*(1-'5.Closing Stock &amp; W Capital'!$D$16))+(D163*'5.Closing Stock &amp; W Capital'!$D$16))*$C222*G$172</f>
        <v>0</v>
      </c>
      <c r="H222" s="184">
        <f>((F163*(1-'5.Closing Stock &amp; W Capital'!$D$16))+(E163*'5.Closing Stock &amp; W Capital'!$D$16))*$C222*H$172</f>
        <v>0</v>
      </c>
      <c r="I222" s="184">
        <f>((G163*(1-'5.Closing Stock &amp; W Capital'!$D$16))+(F163*'5.Closing Stock &amp; W Capital'!$D$16))*$C222*I$172</f>
        <v>0</v>
      </c>
      <c r="J222" s="184">
        <f>((H163*(1-'5.Closing Stock &amp; W Capital'!$D$16))+(G163*'5.Closing Stock &amp; W Capital'!$D$16))*$C222*J$172</f>
        <v>0</v>
      </c>
      <c r="K222" s="150"/>
      <c r="L222" s="150"/>
    </row>
    <row r="223" spans="1:12" hidden="1" x14ac:dyDescent="0.25">
      <c r="A223" s="113">
        <f t="shared" si="30"/>
        <v>0</v>
      </c>
      <c r="B223" s="109" t="s">
        <v>352</v>
      </c>
      <c r="C223" s="154"/>
      <c r="D223" s="184">
        <f>(B164*(1-'5.Closing Stock &amp; W Capital'!$D$16))*$C223*D$172</f>
        <v>0</v>
      </c>
      <c r="E223" s="184">
        <f>((C164*(1-'5.Closing Stock &amp; W Capital'!$D$16))+(B164*'5.Closing Stock &amp; W Capital'!$D$16))*$C223*E$172</f>
        <v>0</v>
      </c>
      <c r="F223" s="184">
        <f>((D164*(1-'5.Closing Stock &amp; W Capital'!$D$16))+(C164*'5.Closing Stock &amp; W Capital'!$D$16))*$C223*F$172</f>
        <v>0</v>
      </c>
      <c r="G223" s="184">
        <f>((E164*(1-'5.Closing Stock &amp; W Capital'!$D$16))+(D164*'5.Closing Stock &amp; W Capital'!$D$16))*$C223*G$172</f>
        <v>0</v>
      </c>
      <c r="H223" s="184">
        <f>((F164*(1-'5.Closing Stock &amp; W Capital'!$D$16))+(E164*'5.Closing Stock &amp; W Capital'!$D$16))*$C223*H$172</f>
        <v>0</v>
      </c>
      <c r="I223" s="184">
        <f>((G164*(1-'5.Closing Stock &amp; W Capital'!$D$16))+(F164*'5.Closing Stock &amp; W Capital'!$D$16))*$C223*I$172</f>
        <v>0</v>
      </c>
      <c r="J223" s="184">
        <f>((H164*(1-'5.Closing Stock &amp; W Capital'!$D$16))+(G164*'5.Closing Stock &amp; W Capital'!$D$16))*$C223*J$172</f>
        <v>0</v>
      </c>
      <c r="K223" s="150"/>
      <c r="L223" s="150"/>
    </row>
    <row r="224" spans="1:12" hidden="1" x14ac:dyDescent="0.25">
      <c r="A224" s="113" t="str">
        <f t="shared" si="30"/>
        <v>Pomegranate</v>
      </c>
      <c r="B224" s="109" t="s">
        <v>352</v>
      </c>
      <c r="C224" s="154">
        <v>5000</v>
      </c>
      <c r="D224" s="184">
        <f>(B165*(1-'5.Closing Stock &amp; W Capital'!$D$16))*$C224*D$172</f>
        <v>0</v>
      </c>
      <c r="E224" s="184">
        <f>((C165*(1-'5.Closing Stock &amp; W Capital'!$D$16))+(B165*'5.Closing Stock &amp; W Capital'!$D$16))*$C224*E$172</f>
        <v>0</v>
      </c>
      <c r="F224" s="184">
        <f>((D165*(1-'5.Closing Stock &amp; W Capital'!$D$16))+(C165*'5.Closing Stock &amp; W Capital'!$D$16))*$C224*F$172</f>
        <v>0</v>
      </c>
      <c r="G224" s="184">
        <f>((E165*(1-'5.Closing Stock &amp; W Capital'!$D$16))+(D165*'5.Closing Stock &amp; W Capital'!$D$16))*$C224*G$172</f>
        <v>0</v>
      </c>
      <c r="H224" s="184">
        <f>((F165*(1-'5.Closing Stock &amp; W Capital'!$D$16))+(E165*'5.Closing Stock &amp; W Capital'!$D$16))*$C224*H$172</f>
        <v>0</v>
      </c>
      <c r="I224" s="184">
        <f>((G165*(1-'5.Closing Stock &amp; W Capital'!$D$16))+(F165*'5.Closing Stock &amp; W Capital'!$D$16))*$C224*I$172</f>
        <v>0</v>
      </c>
      <c r="J224" s="184">
        <f>((H165*(1-'5.Closing Stock &amp; W Capital'!$D$16))+(G165*'5.Closing Stock &amp; W Capital'!$D$16))*$C224*J$172</f>
        <v>0</v>
      </c>
      <c r="K224" s="150"/>
      <c r="L224" s="150"/>
    </row>
    <row r="225" spans="1:12" hidden="1" x14ac:dyDescent="0.25">
      <c r="A225" s="113" t="str">
        <f t="shared" si="30"/>
        <v>Custard Apple</v>
      </c>
      <c r="B225" s="109" t="s">
        <v>352</v>
      </c>
      <c r="C225" s="154"/>
      <c r="D225" s="184">
        <f>(B166*(1-'5.Closing Stock &amp; W Capital'!$D$16))*$C225*D$172</f>
        <v>0</v>
      </c>
      <c r="E225" s="184">
        <f>((C166*(1-'5.Closing Stock &amp; W Capital'!$D$16))+(B166*'5.Closing Stock &amp; W Capital'!$D$16))*$C225*E$172</f>
        <v>0</v>
      </c>
      <c r="F225" s="184">
        <f>((D166*(1-'5.Closing Stock &amp; W Capital'!$D$16))+(C166*'5.Closing Stock &amp; W Capital'!$D$16))*$C225*F$172</f>
        <v>0</v>
      </c>
      <c r="G225" s="184">
        <f>((E166*(1-'5.Closing Stock &amp; W Capital'!$D$16))+(D166*'5.Closing Stock &amp; W Capital'!$D$16))*$C225*G$172</f>
        <v>0</v>
      </c>
      <c r="H225" s="184">
        <f>((F166*(1-'5.Closing Stock &amp; W Capital'!$D$16))+(E166*'5.Closing Stock &amp; W Capital'!$D$16))*$C225*H$172</f>
        <v>0</v>
      </c>
      <c r="I225" s="184">
        <f>((G166*(1-'5.Closing Stock &amp; W Capital'!$D$16))+(F166*'5.Closing Stock &amp; W Capital'!$D$16))*$C225*I$172</f>
        <v>0</v>
      </c>
      <c r="J225" s="184">
        <f>((H166*(1-'5.Closing Stock &amp; W Capital'!$D$16))+(G166*'5.Closing Stock &amp; W Capital'!$D$16))*$C225*J$172</f>
        <v>0</v>
      </c>
      <c r="K225" s="150"/>
      <c r="L225" s="150"/>
    </row>
    <row r="226" spans="1:12" hidden="1" x14ac:dyDescent="0.25">
      <c r="A226" s="113" t="str">
        <f t="shared" si="30"/>
        <v>Guava</v>
      </c>
      <c r="B226" s="109" t="s">
        <v>352</v>
      </c>
      <c r="C226" s="154"/>
      <c r="D226" s="184">
        <f>(B167*(1-'5.Closing Stock &amp; W Capital'!$D$16))*$C226*D$172</f>
        <v>0</v>
      </c>
      <c r="E226" s="184">
        <f>((C167*(1-'5.Closing Stock &amp; W Capital'!$D$16))+(B167*'5.Closing Stock &amp; W Capital'!$D$16))*$C226*E$172</f>
        <v>0</v>
      </c>
      <c r="F226" s="184">
        <f>((D167*(1-'5.Closing Stock &amp; W Capital'!$D$16))+(C167*'5.Closing Stock &amp; W Capital'!$D$16))*$C226*F$172</f>
        <v>0</v>
      </c>
      <c r="G226" s="184">
        <f>((E167*(1-'5.Closing Stock &amp; W Capital'!$D$16))+(D167*'5.Closing Stock &amp; W Capital'!$D$16))*$C226*G$172</f>
        <v>0</v>
      </c>
      <c r="H226" s="184">
        <f>((F167*(1-'5.Closing Stock &amp; W Capital'!$D$16))+(E167*'5.Closing Stock &amp; W Capital'!$D$16))*$C226*H$172</f>
        <v>0</v>
      </c>
      <c r="I226" s="184">
        <f>((G167*(1-'5.Closing Stock &amp; W Capital'!$D$16))+(F167*'5.Closing Stock &amp; W Capital'!$D$16))*$C226*I$172</f>
        <v>0</v>
      </c>
      <c r="J226" s="184">
        <f>((H167*(1-'5.Closing Stock &amp; W Capital'!$D$16))+(G167*'5.Closing Stock &amp; W Capital'!$D$16))*$C226*J$172</f>
        <v>0</v>
      </c>
      <c r="K226" s="150"/>
      <c r="L226" s="150"/>
    </row>
    <row r="227" spans="1:12" hidden="1" x14ac:dyDescent="0.25">
      <c r="A227" s="113" t="str">
        <f t="shared" si="30"/>
        <v>Citrus</v>
      </c>
      <c r="B227" s="109" t="s">
        <v>352</v>
      </c>
      <c r="C227" s="154"/>
      <c r="D227" s="184">
        <f>(B168*(1-'5.Closing Stock &amp; W Capital'!$D$16))*$C227*D$172</f>
        <v>0</v>
      </c>
      <c r="E227" s="184">
        <f>((C168*(1-'5.Closing Stock &amp; W Capital'!$D$16))+(B168*'5.Closing Stock &amp; W Capital'!$D$16))*$C227*E$172</f>
        <v>0</v>
      </c>
      <c r="F227" s="184">
        <f>((D168*(1-'5.Closing Stock &amp; W Capital'!$D$16))+(C168*'5.Closing Stock &amp; W Capital'!$D$16))*$C227*F$172</f>
        <v>0</v>
      </c>
      <c r="G227" s="184">
        <f>((E168*(1-'5.Closing Stock &amp; W Capital'!$D$16))+(D168*'5.Closing Stock &amp; W Capital'!$D$16))*$C227*G$172</f>
        <v>0</v>
      </c>
      <c r="H227" s="184">
        <f>((F168*(1-'5.Closing Stock &amp; W Capital'!$D$16))+(E168*'5.Closing Stock &amp; W Capital'!$D$16))*$C227*H$172</f>
        <v>0</v>
      </c>
      <c r="I227" s="184">
        <f>((G168*(1-'5.Closing Stock &amp; W Capital'!$D$16))+(F168*'5.Closing Stock &amp; W Capital'!$D$16))*$C227*I$172</f>
        <v>0</v>
      </c>
      <c r="J227" s="184">
        <f>((H168*(1-'5.Closing Stock &amp; W Capital'!$D$16))+(G168*'5.Closing Stock &amp; W Capital'!$D$16))*$C227*J$172</f>
        <v>0</v>
      </c>
      <c r="K227" s="150"/>
      <c r="L227" s="150"/>
    </row>
    <row r="228" spans="1:12" x14ac:dyDescent="0.25">
      <c r="A228" s="113"/>
      <c r="B228" s="113"/>
      <c r="C228" s="113"/>
      <c r="D228" s="109"/>
      <c r="E228" s="109"/>
      <c r="F228" s="109"/>
      <c r="G228" s="109"/>
      <c r="H228" s="109"/>
      <c r="I228" s="109"/>
      <c r="J228" s="109"/>
      <c r="K228" s="150"/>
      <c r="L228" s="150"/>
    </row>
    <row r="229" spans="1:12" x14ac:dyDescent="0.25">
      <c r="A229" s="113" t="s">
        <v>142</v>
      </c>
      <c r="B229" s="113"/>
      <c r="C229" s="113"/>
      <c r="D229" s="186">
        <f t="shared" ref="D229:J229" si="31">SUM(D178:D228)</f>
        <v>59454285.919874981</v>
      </c>
      <c r="E229" s="186">
        <f t="shared" si="31"/>
        <v>68669700.237455606</v>
      </c>
      <c r="F229" s="186">
        <f t="shared" si="31"/>
        <v>76473075.26443921</v>
      </c>
      <c r="G229" s="186">
        <f t="shared" si="31"/>
        <v>84885113.543527529</v>
      </c>
      <c r="H229" s="186">
        <f t="shared" si="31"/>
        <v>93947172.962363571</v>
      </c>
      <c r="I229" s="186">
        <f t="shared" si="31"/>
        <v>103703225.53922445</v>
      </c>
      <c r="J229" s="186">
        <f t="shared" si="31"/>
        <v>114200015.44136544</v>
      </c>
      <c r="K229" s="150"/>
      <c r="L229" s="150"/>
    </row>
    <row r="230" spans="1:12" x14ac:dyDescent="0.25">
      <c r="A230" s="109"/>
      <c r="B230" s="109"/>
      <c r="C230" s="109"/>
      <c r="D230" s="109"/>
      <c r="E230" s="109"/>
      <c r="F230" s="109"/>
      <c r="G230" s="109"/>
      <c r="H230" s="109"/>
      <c r="I230" s="109"/>
      <c r="J230" s="109"/>
      <c r="K230" s="150"/>
      <c r="L230" s="150"/>
    </row>
    <row r="231" spans="1:12" x14ac:dyDescent="0.25">
      <c r="A231" s="113" t="s">
        <v>141</v>
      </c>
      <c r="B231" s="113"/>
      <c r="C231" s="113"/>
      <c r="D231" s="109"/>
      <c r="E231" s="109"/>
      <c r="F231" s="109"/>
      <c r="G231" s="109"/>
      <c r="H231" s="109"/>
      <c r="I231" s="109"/>
      <c r="J231" s="109"/>
      <c r="K231" s="150"/>
      <c r="L231" s="150"/>
    </row>
    <row r="232" spans="1:12" x14ac:dyDescent="0.25">
      <c r="A232" s="113" t="s">
        <v>305</v>
      </c>
      <c r="B232" s="113"/>
      <c r="C232" s="109"/>
      <c r="D232" s="109"/>
      <c r="E232" s="109"/>
      <c r="F232" s="109"/>
      <c r="G232" s="109"/>
      <c r="H232" s="109"/>
      <c r="I232" s="109"/>
      <c r="J232" s="109"/>
      <c r="K232" s="150"/>
      <c r="L232" s="150"/>
    </row>
    <row r="233" spans="1:12" x14ac:dyDescent="0.25">
      <c r="A233" s="109" t="str">
        <f t="shared" ref="A233:A254" si="32">A178</f>
        <v>Soybean</v>
      </c>
      <c r="B233" s="109" t="s">
        <v>352</v>
      </c>
      <c r="C233" s="168">
        <v>6000</v>
      </c>
      <c r="D233" s="156">
        <f>B68*$C$233*D$172</f>
        <v>20956319.999999996</v>
      </c>
      <c r="E233" s="156">
        <f>C68*$C$233*E$172</f>
        <v>24204549.599999994</v>
      </c>
      <c r="F233" s="156">
        <f>D68*$C$233*F172</f>
        <v>26955066.599999998</v>
      </c>
      <c r="G233" s="156">
        <f>E68*$C$233*G172</f>
        <v>29920123.925999999</v>
      </c>
      <c r="H233" s="156">
        <f>F68*$C$233*H172</f>
        <v>33114299.318100002</v>
      </c>
      <c r="I233" s="156">
        <f>G68*$C$233*I172</f>
        <v>36553091.939595014</v>
      </c>
      <c r="J233" s="156">
        <f>H68*$C$233*J172</f>
        <v>40252978.074944265</v>
      </c>
      <c r="K233" s="150"/>
      <c r="L233" s="150"/>
    </row>
    <row r="234" spans="1:12" x14ac:dyDescent="0.25">
      <c r="A234" s="109" t="str">
        <f t="shared" si="32"/>
        <v>Red Gram/Tur</v>
      </c>
      <c r="B234" s="109" t="s">
        <v>352</v>
      </c>
      <c r="C234" s="168">
        <v>5800</v>
      </c>
      <c r="D234" s="156">
        <f>B69*$C$234*D$172</f>
        <v>16068214.700999994</v>
      </c>
      <c r="E234" s="156">
        <f t="shared" ref="E234:J234" si="33">C69*$C$234*E172</f>
        <v>18558787.979654994</v>
      </c>
      <c r="F234" s="156">
        <f t="shared" si="33"/>
        <v>20667741.159161247</v>
      </c>
      <c r="G234" s="156">
        <f t="shared" si="33"/>
        <v>22941192.686668985</v>
      </c>
      <c r="H234" s="156">
        <f t="shared" si="33"/>
        <v>25390320.014029596</v>
      </c>
      <c r="I234" s="156">
        <f t="shared" si="33"/>
        <v>28027007.092409596</v>
      </c>
      <c r="J234" s="156">
        <f t="shared" si="33"/>
        <v>30863887.07859252</v>
      </c>
      <c r="K234" s="150"/>
      <c r="L234" s="150"/>
    </row>
    <row r="235" spans="1:12" hidden="1" x14ac:dyDescent="0.25">
      <c r="A235" s="109" t="str">
        <f t="shared" si="32"/>
        <v>Paddy/Rice</v>
      </c>
      <c r="B235" s="109" t="s">
        <v>352</v>
      </c>
      <c r="C235" s="168"/>
      <c r="D235" s="156">
        <f>B70*$C$235*D$172</f>
        <v>0</v>
      </c>
      <c r="E235" s="156">
        <f t="shared" ref="E235:J235" si="34">C70*$C$235*E172</f>
        <v>0</v>
      </c>
      <c r="F235" s="156">
        <f t="shared" si="34"/>
        <v>0</v>
      </c>
      <c r="G235" s="156">
        <f t="shared" si="34"/>
        <v>0</v>
      </c>
      <c r="H235" s="156">
        <f t="shared" si="34"/>
        <v>0</v>
      </c>
      <c r="I235" s="156">
        <f t="shared" si="34"/>
        <v>0</v>
      </c>
      <c r="J235" s="156">
        <f t="shared" si="34"/>
        <v>0</v>
      </c>
      <c r="K235" s="150"/>
      <c r="L235" s="150"/>
    </row>
    <row r="236" spans="1:12" x14ac:dyDescent="0.25">
      <c r="A236" s="109" t="str">
        <f t="shared" si="32"/>
        <v>Green Gram/ Moong</v>
      </c>
      <c r="B236" s="109" t="s">
        <v>352</v>
      </c>
      <c r="C236" s="168">
        <v>6000</v>
      </c>
      <c r="D236" s="156">
        <f t="shared" ref="D236:J236" si="35">B71*$C$236*D$172</f>
        <v>4492511.0999999996</v>
      </c>
      <c r="E236" s="156">
        <f t="shared" si="35"/>
        <v>5188850.3204999994</v>
      </c>
      <c r="F236" s="156">
        <f t="shared" si="35"/>
        <v>5778492.4023749996</v>
      </c>
      <c r="G236" s="156">
        <f t="shared" si="35"/>
        <v>6414126.5666362504</v>
      </c>
      <c r="H236" s="156">
        <f t="shared" si="35"/>
        <v>7098877.9163176892</v>
      </c>
      <c r="I236" s="156">
        <f t="shared" si="35"/>
        <v>7836069.0845506806</v>
      </c>
      <c r="J236" s="156">
        <f t="shared" si="35"/>
        <v>8629232.1748161782</v>
      </c>
      <c r="K236" s="150"/>
      <c r="L236" s="150"/>
    </row>
    <row r="237" spans="1:12" hidden="1" x14ac:dyDescent="0.25">
      <c r="A237" s="109" t="str">
        <f t="shared" si="32"/>
        <v>Maize</v>
      </c>
      <c r="B237" s="109" t="s">
        <v>352</v>
      </c>
      <c r="C237" s="168"/>
      <c r="D237" s="156">
        <f t="shared" ref="D237:J237" si="36">B72*$C$237*D$172</f>
        <v>0</v>
      </c>
      <c r="E237" s="156">
        <f t="shared" si="36"/>
        <v>0</v>
      </c>
      <c r="F237" s="156">
        <f t="shared" si="36"/>
        <v>0</v>
      </c>
      <c r="G237" s="156">
        <f t="shared" si="36"/>
        <v>0</v>
      </c>
      <c r="H237" s="156">
        <f t="shared" si="36"/>
        <v>0</v>
      </c>
      <c r="I237" s="156">
        <f t="shared" si="36"/>
        <v>0</v>
      </c>
      <c r="J237" s="156">
        <f t="shared" si="36"/>
        <v>0</v>
      </c>
      <c r="K237" s="150"/>
      <c r="L237" s="150"/>
    </row>
    <row r="238" spans="1:12" hidden="1" x14ac:dyDescent="0.25">
      <c r="A238" s="109" t="str">
        <f t="shared" si="32"/>
        <v>Black Gram/Udid</v>
      </c>
      <c r="B238" s="109" t="s">
        <v>352</v>
      </c>
      <c r="C238" s="168">
        <v>6300</v>
      </c>
      <c r="D238" s="156">
        <f t="shared" ref="D238:J238" si="37">B73*$C$238*D$172</f>
        <v>0</v>
      </c>
      <c r="E238" s="156">
        <f t="shared" si="37"/>
        <v>0</v>
      </c>
      <c r="F238" s="156">
        <f t="shared" si="37"/>
        <v>0</v>
      </c>
      <c r="G238" s="156">
        <f t="shared" si="37"/>
        <v>0</v>
      </c>
      <c r="H238" s="156">
        <f t="shared" si="37"/>
        <v>0</v>
      </c>
      <c r="I238" s="156">
        <f t="shared" si="37"/>
        <v>0</v>
      </c>
      <c r="J238" s="156">
        <f t="shared" si="37"/>
        <v>0</v>
      </c>
      <c r="K238" s="150"/>
      <c r="L238" s="150"/>
    </row>
    <row r="239" spans="1:12" hidden="1" x14ac:dyDescent="0.25">
      <c r="A239" s="109" t="str">
        <f t="shared" si="32"/>
        <v>Bajra</v>
      </c>
      <c r="B239" s="109" t="s">
        <v>352</v>
      </c>
      <c r="C239" s="168">
        <v>1800</v>
      </c>
      <c r="D239" s="156">
        <f t="shared" ref="D239:J239" si="38">B74*$C$239*D$172</f>
        <v>0</v>
      </c>
      <c r="E239" s="156">
        <f t="shared" si="38"/>
        <v>0</v>
      </c>
      <c r="F239" s="156">
        <f t="shared" si="38"/>
        <v>0</v>
      </c>
      <c r="G239" s="156">
        <f t="shared" si="38"/>
        <v>0</v>
      </c>
      <c r="H239" s="156">
        <f t="shared" si="38"/>
        <v>0</v>
      </c>
      <c r="I239" s="156">
        <f t="shared" si="38"/>
        <v>0</v>
      </c>
      <c r="J239" s="156">
        <f t="shared" si="38"/>
        <v>0</v>
      </c>
      <c r="K239" s="150"/>
      <c r="L239" s="150"/>
    </row>
    <row r="240" spans="1:12" hidden="1" x14ac:dyDescent="0.25">
      <c r="A240" s="109" t="str">
        <f t="shared" si="32"/>
        <v>Jawar</v>
      </c>
      <c r="B240" s="109" t="s">
        <v>352</v>
      </c>
      <c r="C240" s="168"/>
      <c r="D240" s="156">
        <f t="shared" ref="D240:J240" si="39">B75*$C$240*D$172</f>
        <v>0</v>
      </c>
      <c r="E240" s="156">
        <f t="shared" si="39"/>
        <v>0</v>
      </c>
      <c r="F240" s="156">
        <f t="shared" si="39"/>
        <v>0</v>
      </c>
      <c r="G240" s="156">
        <f t="shared" si="39"/>
        <v>0</v>
      </c>
      <c r="H240" s="156">
        <f t="shared" si="39"/>
        <v>0</v>
      </c>
      <c r="I240" s="156">
        <f t="shared" si="39"/>
        <v>0</v>
      </c>
      <c r="J240" s="156">
        <f t="shared" si="39"/>
        <v>0</v>
      </c>
      <c r="K240" s="150"/>
      <c r="L240" s="150"/>
    </row>
    <row r="241" spans="1:12" hidden="1" x14ac:dyDescent="0.25">
      <c r="A241" s="109" t="str">
        <f t="shared" si="32"/>
        <v>Sunflower</v>
      </c>
      <c r="B241" s="109" t="s">
        <v>352</v>
      </c>
      <c r="C241" s="168"/>
      <c r="D241" s="156">
        <f t="shared" ref="D241:J241" si="40">B76*$C$241*D$172</f>
        <v>0</v>
      </c>
      <c r="E241" s="156">
        <f t="shared" si="40"/>
        <v>0</v>
      </c>
      <c r="F241" s="156">
        <f t="shared" si="40"/>
        <v>0</v>
      </c>
      <c r="G241" s="156">
        <f t="shared" si="40"/>
        <v>0</v>
      </c>
      <c r="H241" s="156">
        <f t="shared" si="40"/>
        <v>0</v>
      </c>
      <c r="I241" s="156">
        <f t="shared" si="40"/>
        <v>0</v>
      </c>
      <c r="J241" s="156">
        <f t="shared" si="40"/>
        <v>0</v>
      </c>
      <c r="K241" s="150"/>
      <c r="L241" s="150"/>
    </row>
    <row r="242" spans="1:12" hidden="1" x14ac:dyDescent="0.25">
      <c r="A242" s="109" t="str">
        <f t="shared" si="32"/>
        <v>Wheat</v>
      </c>
      <c r="B242" s="109" t="s">
        <v>352</v>
      </c>
      <c r="C242" s="168"/>
      <c r="D242" s="156">
        <f t="shared" ref="D242:J242" si="41">B77*$C$242*D$172</f>
        <v>0</v>
      </c>
      <c r="E242" s="156">
        <f t="shared" si="41"/>
        <v>0</v>
      </c>
      <c r="F242" s="156">
        <f t="shared" si="41"/>
        <v>0</v>
      </c>
      <c r="G242" s="156">
        <f t="shared" si="41"/>
        <v>0</v>
      </c>
      <c r="H242" s="156">
        <f t="shared" si="41"/>
        <v>0</v>
      </c>
      <c r="I242" s="156">
        <f t="shared" si="41"/>
        <v>0</v>
      </c>
      <c r="J242" s="156">
        <f t="shared" si="41"/>
        <v>0</v>
      </c>
      <c r="K242" s="150"/>
      <c r="L242" s="150"/>
    </row>
    <row r="243" spans="1:12" x14ac:dyDescent="0.25">
      <c r="A243" s="109" t="str">
        <f t="shared" si="32"/>
        <v>Bengal Gram/Channa</v>
      </c>
      <c r="B243" s="109" t="s">
        <v>352</v>
      </c>
      <c r="C243" s="168">
        <v>4700</v>
      </c>
      <c r="D243" s="156">
        <f t="shared" ref="D243:J243" si="42">B78*$C$243*D$172</f>
        <v>12281058.404999999</v>
      </c>
      <c r="E243" s="156">
        <f t="shared" si="42"/>
        <v>14184622.457774999</v>
      </c>
      <c r="F243" s="156">
        <f t="shared" si="42"/>
        <v>15796511.373431249</v>
      </c>
      <c r="G243" s="156">
        <f t="shared" si="42"/>
        <v>17534127.62450869</v>
      </c>
      <c r="H243" s="156">
        <f t="shared" si="42"/>
        <v>19406014.222260293</v>
      </c>
      <c r="I243" s="156">
        <f t="shared" si="42"/>
        <v>21421254.160725787</v>
      </c>
      <c r="J243" s="156">
        <f t="shared" si="42"/>
        <v>23589503.057482179</v>
      </c>
      <c r="K243" s="150"/>
      <c r="L243" s="150"/>
    </row>
    <row r="244" spans="1:12" hidden="1" x14ac:dyDescent="0.25">
      <c r="A244" s="109" t="str">
        <f t="shared" si="32"/>
        <v>Jawar</v>
      </c>
      <c r="B244" s="109" t="s">
        <v>352</v>
      </c>
      <c r="C244" s="168"/>
      <c r="D244" s="156">
        <f t="shared" ref="D244:J244" si="43">B79*$C$244*D$172</f>
        <v>0</v>
      </c>
      <c r="E244" s="156">
        <f t="shared" si="43"/>
        <v>0</v>
      </c>
      <c r="F244" s="156">
        <f t="shared" si="43"/>
        <v>0</v>
      </c>
      <c r="G244" s="156">
        <f t="shared" si="43"/>
        <v>0</v>
      </c>
      <c r="H244" s="156">
        <f t="shared" si="43"/>
        <v>0</v>
      </c>
      <c r="I244" s="156">
        <f t="shared" si="43"/>
        <v>0</v>
      </c>
      <c r="J244" s="156">
        <f t="shared" si="43"/>
        <v>0</v>
      </c>
      <c r="K244" s="150"/>
      <c r="L244" s="150"/>
    </row>
    <row r="245" spans="1:12" hidden="1" x14ac:dyDescent="0.25">
      <c r="A245" s="109" t="str">
        <f t="shared" si="32"/>
        <v>Maize</v>
      </c>
      <c r="B245" s="109" t="s">
        <v>352</v>
      </c>
      <c r="C245" s="168"/>
      <c r="D245" s="156">
        <f t="shared" ref="D245:J245" si="44">B80*$C$245*D$172</f>
        <v>0</v>
      </c>
      <c r="E245" s="156">
        <f t="shared" si="44"/>
        <v>0</v>
      </c>
      <c r="F245" s="156">
        <f t="shared" si="44"/>
        <v>0</v>
      </c>
      <c r="G245" s="156">
        <f t="shared" si="44"/>
        <v>0</v>
      </c>
      <c r="H245" s="156">
        <f t="shared" si="44"/>
        <v>0</v>
      </c>
      <c r="I245" s="156">
        <f t="shared" si="44"/>
        <v>0</v>
      </c>
      <c r="J245" s="156">
        <f t="shared" si="44"/>
        <v>0</v>
      </c>
      <c r="K245" s="150"/>
      <c r="L245" s="150"/>
    </row>
    <row r="246" spans="1:12" hidden="1" x14ac:dyDescent="0.25">
      <c r="A246" s="109" t="str">
        <f t="shared" si="32"/>
        <v>Safflower</v>
      </c>
      <c r="B246" s="109" t="s">
        <v>352</v>
      </c>
      <c r="C246" s="168"/>
      <c r="D246" s="156">
        <f t="shared" ref="D246:J246" si="45">B81*$C$246*D$172</f>
        <v>0</v>
      </c>
      <c r="E246" s="156">
        <f t="shared" si="45"/>
        <v>0</v>
      </c>
      <c r="F246" s="156">
        <f t="shared" si="45"/>
        <v>0</v>
      </c>
      <c r="G246" s="156">
        <f t="shared" si="45"/>
        <v>0</v>
      </c>
      <c r="H246" s="156">
        <f t="shared" si="45"/>
        <v>0</v>
      </c>
      <c r="I246" s="156">
        <f t="shared" si="45"/>
        <v>0</v>
      </c>
      <c r="J246" s="156">
        <f t="shared" si="45"/>
        <v>0</v>
      </c>
      <c r="K246" s="150"/>
      <c r="L246" s="150"/>
    </row>
    <row r="247" spans="1:12" hidden="1" x14ac:dyDescent="0.25">
      <c r="A247" s="109">
        <f t="shared" si="32"/>
        <v>0</v>
      </c>
      <c r="B247" s="109" t="s">
        <v>352</v>
      </c>
      <c r="C247" s="168"/>
      <c r="D247" s="156">
        <f t="shared" ref="D247:J247" si="46">B82*$C$247*D$172</f>
        <v>0</v>
      </c>
      <c r="E247" s="156">
        <f t="shared" si="46"/>
        <v>0</v>
      </c>
      <c r="F247" s="156">
        <f t="shared" si="46"/>
        <v>0</v>
      </c>
      <c r="G247" s="156">
        <f t="shared" si="46"/>
        <v>0</v>
      </c>
      <c r="H247" s="156">
        <f t="shared" si="46"/>
        <v>0</v>
      </c>
      <c r="I247" s="156">
        <f t="shared" si="46"/>
        <v>0</v>
      </c>
      <c r="J247" s="156">
        <f t="shared" si="46"/>
        <v>0</v>
      </c>
      <c r="K247" s="150"/>
      <c r="L247" s="150"/>
    </row>
    <row r="248" spans="1:12" hidden="1" x14ac:dyDescent="0.25">
      <c r="A248" s="109">
        <f t="shared" si="32"/>
        <v>0</v>
      </c>
      <c r="B248" s="109" t="s">
        <v>352</v>
      </c>
      <c r="C248" s="168"/>
      <c r="D248" s="156">
        <f t="shared" ref="D248:J248" si="47">B83*$C$248*D$172</f>
        <v>0</v>
      </c>
      <c r="E248" s="156">
        <f t="shared" si="47"/>
        <v>0</v>
      </c>
      <c r="F248" s="156">
        <f t="shared" si="47"/>
        <v>0</v>
      </c>
      <c r="G248" s="156">
        <f t="shared" si="47"/>
        <v>0</v>
      </c>
      <c r="H248" s="156">
        <f t="shared" si="47"/>
        <v>0</v>
      </c>
      <c r="I248" s="156">
        <f t="shared" si="47"/>
        <v>0</v>
      </c>
      <c r="J248" s="156">
        <f t="shared" si="47"/>
        <v>0</v>
      </c>
      <c r="K248" s="150"/>
      <c r="L248" s="150"/>
    </row>
    <row r="249" spans="1:12" hidden="1" x14ac:dyDescent="0.25">
      <c r="A249" s="109">
        <f t="shared" si="32"/>
        <v>0</v>
      </c>
      <c r="B249" s="109" t="s">
        <v>352</v>
      </c>
      <c r="C249" s="168"/>
      <c r="D249" s="156">
        <f t="shared" ref="D249:J255" si="48">B84*$C249*D$172</f>
        <v>0</v>
      </c>
      <c r="E249" s="156">
        <f t="shared" si="48"/>
        <v>0</v>
      </c>
      <c r="F249" s="156">
        <f t="shared" si="48"/>
        <v>0</v>
      </c>
      <c r="G249" s="156">
        <f t="shared" si="48"/>
        <v>0</v>
      </c>
      <c r="H249" s="156">
        <f t="shared" si="48"/>
        <v>0</v>
      </c>
      <c r="I249" s="156">
        <f t="shared" si="48"/>
        <v>0</v>
      </c>
      <c r="J249" s="156">
        <f t="shared" si="48"/>
        <v>0</v>
      </c>
      <c r="K249" s="150"/>
      <c r="L249" s="150"/>
    </row>
    <row r="250" spans="1:12" hidden="1" x14ac:dyDescent="0.25">
      <c r="A250" s="109" t="str">
        <f t="shared" si="32"/>
        <v>Groundnut</v>
      </c>
      <c r="B250" s="109" t="s">
        <v>352</v>
      </c>
      <c r="C250" s="168"/>
      <c r="D250" s="156">
        <f t="shared" si="48"/>
        <v>0</v>
      </c>
      <c r="E250" s="156">
        <f t="shared" si="48"/>
        <v>0</v>
      </c>
      <c r="F250" s="156">
        <f t="shared" si="48"/>
        <v>0</v>
      </c>
      <c r="G250" s="156">
        <f t="shared" si="48"/>
        <v>0</v>
      </c>
      <c r="H250" s="156">
        <f t="shared" si="48"/>
        <v>0</v>
      </c>
      <c r="I250" s="156">
        <f t="shared" si="48"/>
        <v>0</v>
      </c>
      <c r="J250" s="156">
        <f t="shared" si="48"/>
        <v>0</v>
      </c>
      <c r="K250" s="150"/>
      <c r="L250" s="150"/>
    </row>
    <row r="251" spans="1:12" hidden="1" x14ac:dyDescent="0.25">
      <c r="A251" s="109">
        <f t="shared" si="32"/>
        <v>0</v>
      </c>
      <c r="B251" s="109" t="s">
        <v>352</v>
      </c>
      <c r="C251" s="168"/>
      <c r="D251" s="156">
        <f t="shared" si="48"/>
        <v>0</v>
      </c>
      <c r="E251" s="156">
        <f t="shared" si="48"/>
        <v>0</v>
      </c>
      <c r="F251" s="156">
        <f t="shared" si="48"/>
        <v>0</v>
      </c>
      <c r="G251" s="156">
        <f t="shared" si="48"/>
        <v>0</v>
      </c>
      <c r="H251" s="156">
        <f t="shared" si="48"/>
        <v>0</v>
      </c>
      <c r="I251" s="156">
        <f t="shared" si="48"/>
        <v>0</v>
      </c>
      <c r="J251" s="156">
        <f t="shared" si="48"/>
        <v>0</v>
      </c>
      <c r="K251" s="150"/>
      <c r="L251" s="150"/>
    </row>
    <row r="252" spans="1:12" hidden="1" x14ac:dyDescent="0.25">
      <c r="A252" s="109">
        <f t="shared" si="32"/>
        <v>0</v>
      </c>
      <c r="B252" s="109" t="s">
        <v>352</v>
      </c>
      <c r="C252" s="168"/>
      <c r="D252" s="156">
        <f t="shared" si="48"/>
        <v>0</v>
      </c>
      <c r="E252" s="156">
        <f t="shared" si="48"/>
        <v>0</v>
      </c>
      <c r="F252" s="156">
        <f t="shared" si="48"/>
        <v>0</v>
      </c>
      <c r="G252" s="156">
        <f t="shared" si="48"/>
        <v>0</v>
      </c>
      <c r="H252" s="156">
        <f t="shared" si="48"/>
        <v>0</v>
      </c>
      <c r="I252" s="156">
        <f t="shared" si="48"/>
        <v>0</v>
      </c>
      <c r="J252" s="156">
        <f t="shared" si="48"/>
        <v>0</v>
      </c>
      <c r="K252" s="150"/>
      <c r="L252" s="150"/>
    </row>
    <row r="253" spans="1:12" hidden="1" x14ac:dyDescent="0.25">
      <c r="A253" s="109">
        <f t="shared" si="32"/>
        <v>0</v>
      </c>
      <c r="B253" s="109" t="s">
        <v>352</v>
      </c>
      <c r="C253" s="168"/>
      <c r="D253" s="156">
        <f t="shared" si="48"/>
        <v>0</v>
      </c>
      <c r="E253" s="156">
        <f t="shared" si="48"/>
        <v>0</v>
      </c>
      <c r="F253" s="156">
        <f t="shared" si="48"/>
        <v>0</v>
      </c>
      <c r="G253" s="156">
        <f t="shared" si="48"/>
        <v>0</v>
      </c>
      <c r="H253" s="156">
        <f t="shared" si="48"/>
        <v>0</v>
      </c>
      <c r="I253" s="156">
        <f t="shared" si="48"/>
        <v>0</v>
      </c>
      <c r="J253" s="156">
        <f t="shared" si="48"/>
        <v>0</v>
      </c>
      <c r="K253" s="150"/>
      <c r="L253" s="150"/>
    </row>
    <row r="254" spans="1:12" hidden="1" x14ac:dyDescent="0.25">
      <c r="A254" s="109">
        <f t="shared" si="32"/>
        <v>0</v>
      </c>
      <c r="B254" s="109" t="s">
        <v>352</v>
      </c>
      <c r="C254" s="168"/>
      <c r="D254" s="156">
        <f t="shared" si="48"/>
        <v>0</v>
      </c>
      <c r="E254" s="156">
        <f t="shared" si="48"/>
        <v>0</v>
      </c>
      <c r="F254" s="156">
        <f t="shared" si="48"/>
        <v>0</v>
      </c>
      <c r="G254" s="156">
        <f t="shared" si="48"/>
        <v>0</v>
      </c>
      <c r="H254" s="156">
        <f t="shared" si="48"/>
        <v>0</v>
      </c>
      <c r="I254" s="156">
        <f t="shared" si="48"/>
        <v>0</v>
      </c>
      <c r="J254" s="156">
        <f t="shared" si="48"/>
        <v>0</v>
      </c>
      <c r="K254" s="150"/>
      <c r="L254" s="150"/>
    </row>
    <row r="255" spans="1:12" hidden="1" x14ac:dyDescent="0.25">
      <c r="A255" s="109">
        <f t="shared" ref="A255:A274" si="49">A201</f>
        <v>0</v>
      </c>
      <c r="B255" s="109"/>
      <c r="C255" s="168"/>
      <c r="D255" s="156">
        <f t="shared" si="48"/>
        <v>0</v>
      </c>
      <c r="E255" s="156">
        <f t="shared" si="48"/>
        <v>0</v>
      </c>
      <c r="F255" s="156">
        <f t="shared" si="48"/>
        <v>0</v>
      </c>
      <c r="G255" s="156">
        <f t="shared" si="48"/>
        <v>0</v>
      </c>
      <c r="H255" s="156">
        <f t="shared" si="48"/>
        <v>0</v>
      </c>
      <c r="I255" s="156">
        <f t="shared" si="48"/>
        <v>0</v>
      </c>
      <c r="J255" s="156">
        <f t="shared" si="48"/>
        <v>0</v>
      </c>
      <c r="K255" s="150"/>
      <c r="L255" s="150"/>
    </row>
    <row r="256" spans="1:12" hidden="1" x14ac:dyDescent="0.25">
      <c r="A256" s="113" t="str">
        <f t="shared" si="49"/>
        <v>Fruit  &amp; Vegetables Crop Production Details</v>
      </c>
      <c r="B256" s="109"/>
      <c r="C256" s="168"/>
      <c r="D256" s="156"/>
      <c r="E256" s="156"/>
      <c r="F256" s="156"/>
      <c r="G256" s="156"/>
      <c r="H256" s="156"/>
      <c r="I256" s="156"/>
      <c r="J256" s="156"/>
      <c r="K256" s="150"/>
      <c r="L256" s="150"/>
    </row>
    <row r="257" spans="1:12" hidden="1" x14ac:dyDescent="0.25">
      <c r="A257" s="109" t="str">
        <f t="shared" si="49"/>
        <v>Onion</v>
      </c>
      <c r="B257" s="109" t="s">
        <v>352</v>
      </c>
      <c r="C257" s="168">
        <v>1800</v>
      </c>
      <c r="D257" s="156">
        <f t="shared" ref="D257:D274" si="50">B92*$C257*D$172</f>
        <v>0</v>
      </c>
      <c r="E257" s="156">
        <f t="shared" ref="E257:E274" si="51">C92*$C257*E$172</f>
        <v>0</v>
      </c>
      <c r="F257" s="156">
        <f t="shared" ref="F257:F274" si="52">D92*$C257*F$172</f>
        <v>0</v>
      </c>
      <c r="G257" s="156">
        <f t="shared" ref="G257:G274" si="53">E92*$C257*G$172</f>
        <v>0</v>
      </c>
      <c r="H257" s="156">
        <f t="shared" ref="H257:H274" si="54">F92*$C257*H$172</f>
        <v>0</v>
      </c>
      <c r="I257" s="156">
        <f t="shared" ref="I257:I274" si="55">G92*$C257*I$172</f>
        <v>0</v>
      </c>
      <c r="J257" s="156">
        <f t="shared" ref="J257:J274" si="56">H92*$C257*J$172</f>
        <v>0</v>
      </c>
      <c r="K257" s="150"/>
      <c r="L257" s="150"/>
    </row>
    <row r="258" spans="1:12" hidden="1" x14ac:dyDescent="0.25">
      <c r="A258" s="109" t="str">
        <f t="shared" si="49"/>
        <v>Tomato</v>
      </c>
      <c r="B258" s="109" t="s">
        <v>352</v>
      </c>
      <c r="C258" s="168">
        <v>800</v>
      </c>
      <c r="D258" s="156">
        <f t="shared" si="50"/>
        <v>0</v>
      </c>
      <c r="E258" s="156">
        <f t="shared" si="51"/>
        <v>0</v>
      </c>
      <c r="F258" s="156">
        <f t="shared" si="52"/>
        <v>0</v>
      </c>
      <c r="G258" s="156">
        <f t="shared" si="53"/>
        <v>0</v>
      </c>
      <c r="H258" s="156">
        <f t="shared" si="54"/>
        <v>0</v>
      </c>
      <c r="I258" s="156">
        <f t="shared" si="55"/>
        <v>0</v>
      </c>
      <c r="J258" s="156">
        <f t="shared" si="56"/>
        <v>0</v>
      </c>
      <c r="K258" s="150"/>
      <c r="L258" s="150"/>
    </row>
    <row r="259" spans="1:12" hidden="1" x14ac:dyDescent="0.25">
      <c r="A259" s="109" t="str">
        <f t="shared" si="49"/>
        <v>Okra</v>
      </c>
      <c r="B259" s="109" t="s">
        <v>352</v>
      </c>
      <c r="C259" s="168">
        <v>1300</v>
      </c>
      <c r="D259" s="156">
        <f t="shared" si="50"/>
        <v>0</v>
      </c>
      <c r="E259" s="156">
        <f t="shared" si="51"/>
        <v>0</v>
      </c>
      <c r="F259" s="156">
        <f t="shared" si="52"/>
        <v>0</v>
      </c>
      <c r="G259" s="156">
        <f t="shared" si="53"/>
        <v>0</v>
      </c>
      <c r="H259" s="156">
        <f t="shared" si="54"/>
        <v>0</v>
      </c>
      <c r="I259" s="156">
        <f t="shared" si="55"/>
        <v>0</v>
      </c>
      <c r="J259" s="156">
        <f t="shared" si="56"/>
        <v>0</v>
      </c>
      <c r="K259" s="150"/>
      <c r="L259" s="150"/>
    </row>
    <row r="260" spans="1:12" hidden="1" x14ac:dyDescent="0.25">
      <c r="A260" s="109" t="str">
        <f t="shared" si="49"/>
        <v>Chilli</v>
      </c>
      <c r="B260" s="109" t="s">
        <v>352</v>
      </c>
      <c r="C260" s="168">
        <v>2800</v>
      </c>
      <c r="D260" s="156">
        <f t="shared" si="50"/>
        <v>0</v>
      </c>
      <c r="E260" s="156">
        <f t="shared" si="51"/>
        <v>0</v>
      </c>
      <c r="F260" s="156">
        <f t="shared" si="52"/>
        <v>0</v>
      </c>
      <c r="G260" s="156">
        <f t="shared" si="53"/>
        <v>0</v>
      </c>
      <c r="H260" s="156">
        <f t="shared" si="54"/>
        <v>0</v>
      </c>
      <c r="I260" s="156">
        <f t="shared" si="55"/>
        <v>0</v>
      </c>
      <c r="J260" s="156">
        <f t="shared" si="56"/>
        <v>0</v>
      </c>
      <c r="K260" s="150"/>
      <c r="L260" s="150"/>
    </row>
    <row r="261" spans="1:12" hidden="1" x14ac:dyDescent="0.25">
      <c r="A261" s="109" t="str">
        <f t="shared" si="49"/>
        <v>Potato</v>
      </c>
      <c r="B261" s="109" t="s">
        <v>352</v>
      </c>
      <c r="C261" s="168">
        <v>1300</v>
      </c>
      <c r="D261" s="156">
        <f t="shared" si="50"/>
        <v>0</v>
      </c>
      <c r="E261" s="156">
        <f t="shared" si="51"/>
        <v>0</v>
      </c>
      <c r="F261" s="156">
        <f t="shared" si="52"/>
        <v>0</v>
      </c>
      <c r="G261" s="156">
        <f t="shared" si="53"/>
        <v>0</v>
      </c>
      <c r="H261" s="156">
        <f t="shared" si="54"/>
        <v>0</v>
      </c>
      <c r="I261" s="156">
        <f t="shared" si="55"/>
        <v>0</v>
      </c>
      <c r="J261" s="156">
        <f t="shared" si="56"/>
        <v>0</v>
      </c>
      <c r="K261" s="150"/>
      <c r="L261" s="150"/>
    </row>
    <row r="262" spans="1:12" hidden="1" x14ac:dyDescent="0.25">
      <c r="A262" s="109">
        <f t="shared" si="49"/>
        <v>0</v>
      </c>
      <c r="B262" s="109" t="s">
        <v>352</v>
      </c>
      <c r="C262" s="168"/>
      <c r="D262" s="156">
        <f t="shared" si="50"/>
        <v>0</v>
      </c>
      <c r="E262" s="156">
        <f t="shared" si="51"/>
        <v>0</v>
      </c>
      <c r="F262" s="156">
        <f t="shared" si="52"/>
        <v>0</v>
      </c>
      <c r="G262" s="156">
        <f t="shared" si="53"/>
        <v>0</v>
      </c>
      <c r="H262" s="156">
        <f t="shared" si="54"/>
        <v>0</v>
      </c>
      <c r="I262" s="156">
        <f t="shared" si="55"/>
        <v>0</v>
      </c>
      <c r="J262" s="156">
        <f t="shared" si="56"/>
        <v>0</v>
      </c>
      <c r="K262" s="150"/>
      <c r="L262" s="150"/>
    </row>
    <row r="263" spans="1:12" hidden="1" x14ac:dyDescent="0.25">
      <c r="A263" s="109">
        <f t="shared" si="49"/>
        <v>0</v>
      </c>
      <c r="B263" s="109" t="s">
        <v>352</v>
      </c>
      <c r="C263" s="168"/>
      <c r="D263" s="156">
        <f t="shared" si="50"/>
        <v>0</v>
      </c>
      <c r="E263" s="156">
        <f t="shared" si="51"/>
        <v>0</v>
      </c>
      <c r="F263" s="156">
        <f t="shared" si="52"/>
        <v>0</v>
      </c>
      <c r="G263" s="156">
        <f t="shared" si="53"/>
        <v>0</v>
      </c>
      <c r="H263" s="156">
        <f t="shared" si="54"/>
        <v>0</v>
      </c>
      <c r="I263" s="156">
        <f t="shared" si="55"/>
        <v>0</v>
      </c>
      <c r="J263" s="156">
        <f t="shared" si="56"/>
        <v>0</v>
      </c>
      <c r="K263" s="150"/>
      <c r="L263" s="150"/>
    </row>
    <row r="264" spans="1:12" hidden="1" x14ac:dyDescent="0.25">
      <c r="A264" s="109">
        <f t="shared" si="49"/>
        <v>0</v>
      </c>
      <c r="B264" s="109" t="s">
        <v>352</v>
      </c>
      <c r="C264" s="168"/>
      <c r="D264" s="156">
        <f t="shared" si="50"/>
        <v>0</v>
      </c>
      <c r="E264" s="156">
        <f t="shared" si="51"/>
        <v>0</v>
      </c>
      <c r="F264" s="156">
        <f t="shared" si="52"/>
        <v>0</v>
      </c>
      <c r="G264" s="156">
        <f t="shared" si="53"/>
        <v>0</v>
      </c>
      <c r="H264" s="156">
        <f t="shared" si="54"/>
        <v>0</v>
      </c>
      <c r="I264" s="156">
        <f t="shared" si="55"/>
        <v>0</v>
      </c>
      <c r="J264" s="156">
        <f t="shared" si="56"/>
        <v>0</v>
      </c>
      <c r="K264" s="150"/>
      <c r="L264" s="150"/>
    </row>
    <row r="265" spans="1:12" hidden="1" x14ac:dyDescent="0.25">
      <c r="A265" s="109">
        <f t="shared" si="49"/>
        <v>0</v>
      </c>
      <c r="B265" s="109" t="s">
        <v>352</v>
      </c>
      <c r="C265" s="168"/>
      <c r="D265" s="156">
        <f t="shared" si="50"/>
        <v>0</v>
      </c>
      <c r="E265" s="156">
        <f t="shared" si="51"/>
        <v>0</v>
      </c>
      <c r="F265" s="156">
        <f t="shared" si="52"/>
        <v>0</v>
      </c>
      <c r="G265" s="156">
        <f t="shared" si="53"/>
        <v>0</v>
      </c>
      <c r="H265" s="156">
        <f t="shared" si="54"/>
        <v>0</v>
      </c>
      <c r="I265" s="156">
        <f t="shared" si="55"/>
        <v>0</v>
      </c>
      <c r="J265" s="156">
        <f t="shared" si="56"/>
        <v>0</v>
      </c>
      <c r="K265" s="150"/>
      <c r="L265" s="150"/>
    </row>
    <row r="266" spans="1:12" hidden="1" x14ac:dyDescent="0.25">
      <c r="A266" s="109" t="str">
        <f t="shared" si="49"/>
        <v>Onion</v>
      </c>
      <c r="B266" s="109" t="s">
        <v>352</v>
      </c>
      <c r="C266" s="168">
        <v>1800</v>
      </c>
      <c r="D266" s="156">
        <f t="shared" si="50"/>
        <v>0</v>
      </c>
      <c r="E266" s="156">
        <f t="shared" si="51"/>
        <v>0</v>
      </c>
      <c r="F266" s="156">
        <f t="shared" si="52"/>
        <v>0</v>
      </c>
      <c r="G266" s="156">
        <f t="shared" si="53"/>
        <v>0</v>
      </c>
      <c r="H266" s="156">
        <f t="shared" si="54"/>
        <v>0</v>
      </c>
      <c r="I266" s="156">
        <f t="shared" si="55"/>
        <v>0</v>
      </c>
      <c r="J266" s="156">
        <f t="shared" si="56"/>
        <v>0</v>
      </c>
      <c r="K266" s="150"/>
      <c r="L266" s="150"/>
    </row>
    <row r="267" spans="1:12" hidden="1" x14ac:dyDescent="0.25">
      <c r="A267" s="109" t="str">
        <f t="shared" si="49"/>
        <v>Tomato</v>
      </c>
      <c r="B267" s="109" t="s">
        <v>352</v>
      </c>
      <c r="C267" s="168">
        <v>800</v>
      </c>
      <c r="D267" s="156">
        <f t="shared" si="50"/>
        <v>0</v>
      </c>
      <c r="E267" s="156">
        <f t="shared" si="51"/>
        <v>0</v>
      </c>
      <c r="F267" s="156">
        <f t="shared" si="52"/>
        <v>0</v>
      </c>
      <c r="G267" s="156">
        <f t="shared" si="53"/>
        <v>0</v>
      </c>
      <c r="H267" s="156">
        <f t="shared" si="54"/>
        <v>0</v>
      </c>
      <c r="I267" s="156">
        <f t="shared" si="55"/>
        <v>0</v>
      </c>
      <c r="J267" s="156">
        <f t="shared" si="56"/>
        <v>0</v>
      </c>
      <c r="K267" s="150"/>
      <c r="L267" s="150"/>
    </row>
    <row r="268" spans="1:12" hidden="1" x14ac:dyDescent="0.25">
      <c r="A268" s="109" t="str">
        <f t="shared" si="49"/>
        <v>Okra</v>
      </c>
      <c r="B268" s="109" t="s">
        <v>352</v>
      </c>
      <c r="C268" s="168">
        <v>1300</v>
      </c>
      <c r="D268" s="156">
        <f t="shared" si="50"/>
        <v>0</v>
      </c>
      <c r="E268" s="156">
        <f t="shared" si="51"/>
        <v>0</v>
      </c>
      <c r="F268" s="156">
        <f t="shared" si="52"/>
        <v>0</v>
      </c>
      <c r="G268" s="156">
        <f t="shared" si="53"/>
        <v>0</v>
      </c>
      <c r="H268" s="156">
        <f t="shared" si="54"/>
        <v>0</v>
      </c>
      <c r="I268" s="156">
        <f t="shared" si="55"/>
        <v>0</v>
      </c>
      <c r="J268" s="156">
        <f t="shared" si="56"/>
        <v>0</v>
      </c>
      <c r="K268" s="150"/>
      <c r="L268" s="150"/>
    </row>
    <row r="269" spans="1:12" hidden="1" x14ac:dyDescent="0.25">
      <c r="A269" s="109" t="str">
        <f t="shared" si="49"/>
        <v>Chilli</v>
      </c>
      <c r="B269" s="109" t="s">
        <v>352</v>
      </c>
      <c r="C269" s="168">
        <v>2800</v>
      </c>
      <c r="D269" s="156">
        <f t="shared" si="50"/>
        <v>0</v>
      </c>
      <c r="E269" s="156">
        <f t="shared" si="51"/>
        <v>0</v>
      </c>
      <c r="F269" s="156">
        <f t="shared" si="52"/>
        <v>0</v>
      </c>
      <c r="G269" s="156">
        <f t="shared" si="53"/>
        <v>0</v>
      </c>
      <c r="H269" s="156">
        <f t="shared" si="54"/>
        <v>0</v>
      </c>
      <c r="I269" s="156">
        <f t="shared" si="55"/>
        <v>0</v>
      </c>
      <c r="J269" s="156">
        <f t="shared" si="56"/>
        <v>0</v>
      </c>
      <c r="K269" s="150"/>
      <c r="L269" s="150"/>
    </row>
    <row r="270" spans="1:12" hidden="1" x14ac:dyDescent="0.25">
      <c r="A270" s="109" t="str">
        <f t="shared" si="49"/>
        <v>Brinjal</v>
      </c>
      <c r="B270" s="109" t="s">
        <v>352</v>
      </c>
      <c r="C270" s="168">
        <v>1800</v>
      </c>
      <c r="D270" s="156">
        <f t="shared" si="50"/>
        <v>0</v>
      </c>
      <c r="E270" s="156">
        <f t="shared" si="51"/>
        <v>0</v>
      </c>
      <c r="F270" s="156">
        <f t="shared" si="52"/>
        <v>0</v>
      </c>
      <c r="G270" s="156">
        <f t="shared" si="53"/>
        <v>0</v>
      </c>
      <c r="H270" s="156">
        <f t="shared" si="54"/>
        <v>0</v>
      </c>
      <c r="I270" s="156">
        <f t="shared" si="55"/>
        <v>0</v>
      </c>
      <c r="J270" s="156">
        <f t="shared" si="56"/>
        <v>0</v>
      </c>
      <c r="K270" s="150"/>
      <c r="L270" s="150"/>
    </row>
    <row r="271" spans="1:12" hidden="1" x14ac:dyDescent="0.25">
      <c r="A271" s="109">
        <f t="shared" si="49"/>
        <v>0</v>
      </c>
      <c r="B271" s="109" t="s">
        <v>352</v>
      </c>
      <c r="C271" s="168"/>
      <c r="D271" s="156">
        <f t="shared" si="50"/>
        <v>0</v>
      </c>
      <c r="E271" s="156">
        <f t="shared" si="51"/>
        <v>0</v>
      </c>
      <c r="F271" s="156">
        <f t="shared" si="52"/>
        <v>0</v>
      </c>
      <c r="G271" s="156">
        <f t="shared" si="53"/>
        <v>0</v>
      </c>
      <c r="H271" s="156">
        <f t="shared" si="54"/>
        <v>0</v>
      </c>
      <c r="I271" s="156">
        <f t="shared" si="55"/>
        <v>0</v>
      </c>
      <c r="J271" s="156">
        <f t="shared" si="56"/>
        <v>0</v>
      </c>
      <c r="K271" s="150"/>
      <c r="L271" s="150"/>
    </row>
    <row r="272" spans="1:12" hidden="1" x14ac:dyDescent="0.25">
      <c r="A272" s="109">
        <f t="shared" si="49"/>
        <v>0</v>
      </c>
      <c r="B272" s="109" t="s">
        <v>352</v>
      </c>
      <c r="C272" s="168"/>
      <c r="D272" s="156">
        <f t="shared" si="50"/>
        <v>0</v>
      </c>
      <c r="E272" s="156">
        <f t="shared" si="51"/>
        <v>0</v>
      </c>
      <c r="F272" s="156">
        <f t="shared" si="52"/>
        <v>0</v>
      </c>
      <c r="G272" s="156">
        <f t="shared" si="53"/>
        <v>0</v>
      </c>
      <c r="H272" s="156">
        <f t="shared" si="54"/>
        <v>0</v>
      </c>
      <c r="I272" s="156">
        <f t="shared" si="55"/>
        <v>0</v>
      </c>
      <c r="J272" s="156">
        <f t="shared" si="56"/>
        <v>0</v>
      </c>
      <c r="K272" s="150"/>
      <c r="L272" s="150"/>
    </row>
    <row r="273" spans="1:12" hidden="1" x14ac:dyDescent="0.25">
      <c r="A273" s="109">
        <f t="shared" si="49"/>
        <v>0</v>
      </c>
      <c r="B273" s="109" t="s">
        <v>352</v>
      </c>
      <c r="C273" s="168"/>
      <c r="D273" s="156">
        <f t="shared" si="50"/>
        <v>0</v>
      </c>
      <c r="E273" s="156">
        <f t="shared" si="51"/>
        <v>0</v>
      </c>
      <c r="F273" s="156">
        <f t="shared" si="52"/>
        <v>0</v>
      </c>
      <c r="G273" s="156">
        <f t="shared" si="53"/>
        <v>0</v>
      </c>
      <c r="H273" s="156">
        <f t="shared" si="54"/>
        <v>0</v>
      </c>
      <c r="I273" s="156">
        <f t="shared" si="55"/>
        <v>0</v>
      </c>
      <c r="J273" s="156">
        <f t="shared" si="56"/>
        <v>0</v>
      </c>
      <c r="K273" s="150"/>
      <c r="L273" s="150"/>
    </row>
    <row r="274" spans="1:12" hidden="1" x14ac:dyDescent="0.25">
      <c r="A274" s="109">
        <f t="shared" si="49"/>
        <v>0</v>
      </c>
      <c r="B274" s="109" t="s">
        <v>352</v>
      </c>
      <c r="C274" s="168"/>
      <c r="D274" s="156">
        <f t="shared" si="50"/>
        <v>0</v>
      </c>
      <c r="E274" s="156">
        <f t="shared" si="51"/>
        <v>0</v>
      </c>
      <c r="F274" s="156">
        <f t="shared" si="52"/>
        <v>0</v>
      </c>
      <c r="G274" s="156">
        <f t="shared" si="53"/>
        <v>0</v>
      </c>
      <c r="H274" s="156">
        <f t="shared" si="54"/>
        <v>0</v>
      </c>
      <c r="I274" s="156">
        <f t="shared" si="55"/>
        <v>0</v>
      </c>
      <c r="J274" s="156">
        <f t="shared" si="56"/>
        <v>0</v>
      </c>
      <c r="K274" s="150"/>
      <c r="L274" s="150"/>
    </row>
    <row r="275" spans="1:12" hidden="1" x14ac:dyDescent="0.25">
      <c r="A275" s="109" t="str">
        <f>A224</f>
        <v>Pomegranate</v>
      </c>
      <c r="B275" s="109" t="s">
        <v>352</v>
      </c>
      <c r="C275" s="168">
        <v>4700</v>
      </c>
      <c r="D275" s="156">
        <f t="shared" ref="D275:J280" si="57">B113*$C275*D$172</f>
        <v>0</v>
      </c>
      <c r="E275" s="156">
        <f t="shared" si="57"/>
        <v>0</v>
      </c>
      <c r="F275" s="156">
        <f t="shared" si="57"/>
        <v>0</v>
      </c>
      <c r="G275" s="156">
        <f t="shared" si="57"/>
        <v>0</v>
      </c>
      <c r="H275" s="156">
        <f t="shared" si="57"/>
        <v>0</v>
      </c>
      <c r="I275" s="156">
        <f t="shared" si="57"/>
        <v>0</v>
      </c>
      <c r="J275" s="156">
        <f t="shared" si="57"/>
        <v>0</v>
      </c>
      <c r="K275" s="150"/>
      <c r="L275" s="150"/>
    </row>
    <row r="276" spans="1:12" hidden="1" x14ac:dyDescent="0.25">
      <c r="A276" s="109" t="str">
        <f>A225</f>
        <v>Custard Apple</v>
      </c>
      <c r="B276" s="109" t="s">
        <v>352</v>
      </c>
      <c r="C276" s="168"/>
      <c r="D276" s="156">
        <f t="shared" si="57"/>
        <v>0</v>
      </c>
      <c r="E276" s="156">
        <f t="shared" si="57"/>
        <v>0</v>
      </c>
      <c r="F276" s="156">
        <f t="shared" si="57"/>
        <v>0</v>
      </c>
      <c r="G276" s="156">
        <f t="shared" si="57"/>
        <v>0</v>
      </c>
      <c r="H276" s="156">
        <f t="shared" si="57"/>
        <v>0</v>
      </c>
      <c r="I276" s="156">
        <f t="shared" si="57"/>
        <v>0</v>
      </c>
      <c r="J276" s="156">
        <f t="shared" si="57"/>
        <v>0</v>
      </c>
      <c r="K276" s="150"/>
      <c r="L276" s="150"/>
    </row>
    <row r="277" spans="1:12" hidden="1" x14ac:dyDescent="0.25">
      <c r="A277" s="109" t="str">
        <f>A226</f>
        <v>Guava</v>
      </c>
      <c r="B277" s="109" t="s">
        <v>352</v>
      </c>
      <c r="C277" s="168"/>
      <c r="D277" s="156">
        <f t="shared" si="57"/>
        <v>0</v>
      </c>
      <c r="E277" s="156">
        <f t="shared" si="57"/>
        <v>0</v>
      </c>
      <c r="F277" s="156">
        <f t="shared" si="57"/>
        <v>0</v>
      </c>
      <c r="G277" s="156">
        <f t="shared" si="57"/>
        <v>0</v>
      </c>
      <c r="H277" s="156">
        <f t="shared" si="57"/>
        <v>0</v>
      </c>
      <c r="I277" s="156">
        <f t="shared" si="57"/>
        <v>0</v>
      </c>
      <c r="J277" s="156">
        <f t="shared" si="57"/>
        <v>0</v>
      </c>
      <c r="K277" s="150"/>
      <c r="L277" s="150"/>
    </row>
    <row r="278" spans="1:12" hidden="1" x14ac:dyDescent="0.25">
      <c r="A278" s="109" t="str">
        <f>A227</f>
        <v>Citrus</v>
      </c>
      <c r="B278" s="109" t="s">
        <v>352</v>
      </c>
      <c r="C278" s="168"/>
      <c r="D278" s="156">
        <f t="shared" si="57"/>
        <v>0</v>
      </c>
      <c r="E278" s="156">
        <f t="shared" si="57"/>
        <v>0</v>
      </c>
      <c r="F278" s="156">
        <f t="shared" si="57"/>
        <v>0</v>
      </c>
      <c r="G278" s="156">
        <f t="shared" si="57"/>
        <v>0</v>
      </c>
      <c r="H278" s="156">
        <f t="shared" si="57"/>
        <v>0</v>
      </c>
      <c r="I278" s="156">
        <f t="shared" si="57"/>
        <v>0</v>
      </c>
      <c r="J278" s="156">
        <f t="shared" si="57"/>
        <v>0</v>
      </c>
      <c r="K278" s="150"/>
      <c r="L278" s="150"/>
    </row>
    <row r="279" spans="1:12" hidden="1" x14ac:dyDescent="0.25">
      <c r="A279" s="109">
        <f>A228</f>
        <v>0</v>
      </c>
      <c r="B279" s="109" t="s">
        <v>352</v>
      </c>
      <c r="C279" s="168"/>
      <c r="D279" s="156">
        <f t="shared" si="57"/>
        <v>0</v>
      </c>
      <c r="E279" s="156">
        <f t="shared" si="57"/>
        <v>0</v>
      </c>
      <c r="F279" s="156">
        <f t="shared" si="57"/>
        <v>0</v>
      </c>
      <c r="G279" s="156">
        <f t="shared" si="57"/>
        <v>0</v>
      </c>
      <c r="H279" s="156">
        <f t="shared" si="57"/>
        <v>0</v>
      </c>
      <c r="I279" s="156">
        <f t="shared" si="57"/>
        <v>0</v>
      </c>
      <c r="J279" s="156">
        <f t="shared" si="57"/>
        <v>0</v>
      </c>
      <c r="K279" s="150"/>
      <c r="L279" s="150"/>
    </row>
    <row r="280" spans="1:12" hidden="1" x14ac:dyDescent="0.25">
      <c r="A280" s="109">
        <f>A230</f>
        <v>0</v>
      </c>
      <c r="B280" s="109"/>
      <c r="C280" s="168"/>
      <c r="D280" s="156">
        <f t="shared" si="57"/>
        <v>0</v>
      </c>
      <c r="E280" s="156">
        <f t="shared" si="57"/>
        <v>0</v>
      </c>
      <c r="F280" s="156">
        <f t="shared" si="57"/>
        <v>0</v>
      </c>
      <c r="G280" s="156">
        <f t="shared" si="57"/>
        <v>0</v>
      </c>
      <c r="H280" s="156">
        <f t="shared" si="57"/>
        <v>0</v>
      </c>
      <c r="I280" s="156">
        <f t="shared" si="57"/>
        <v>0</v>
      </c>
      <c r="J280" s="156">
        <f t="shared" si="57"/>
        <v>0</v>
      </c>
      <c r="K280" s="150"/>
      <c r="L280" s="150"/>
    </row>
    <row r="281" spans="1:12" x14ac:dyDescent="0.25">
      <c r="A281" s="109"/>
      <c r="B281" s="109"/>
      <c r="C281" s="168"/>
      <c r="D281" s="156"/>
      <c r="E281" s="156"/>
      <c r="F281" s="156"/>
      <c r="G281" s="156"/>
      <c r="H281" s="156"/>
      <c r="I281" s="156"/>
      <c r="J281" s="156"/>
      <c r="K281" s="150"/>
      <c r="L281" s="150"/>
    </row>
    <row r="282" spans="1:12" x14ac:dyDescent="0.25">
      <c r="A282" s="109" t="s">
        <v>302</v>
      </c>
      <c r="B282" s="110">
        <v>1</v>
      </c>
      <c r="C282" s="110">
        <v>300</v>
      </c>
      <c r="D282" s="156">
        <f t="shared" ref="D282:J282" si="58">B10*$B$282*$C$282*D172</f>
        <v>29700</v>
      </c>
      <c r="E282" s="156">
        <f t="shared" si="58"/>
        <v>34335</v>
      </c>
      <c r="F282" s="156">
        <f t="shared" si="58"/>
        <v>38367</v>
      </c>
      <c r="G282" s="156">
        <f t="shared" si="58"/>
        <v>42369.075000000004</v>
      </c>
      <c r="H282" s="156">
        <f t="shared" si="58"/>
        <v>47040.091875000006</v>
      </c>
      <c r="I282" s="156">
        <f t="shared" si="58"/>
        <v>51689.403281250015</v>
      </c>
      <c r="J282" s="156">
        <f t="shared" si="58"/>
        <v>57088.074290625016</v>
      </c>
      <c r="K282" s="150"/>
      <c r="L282" s="150"/>
    </row>
    <row r="283" spans="1:12" x14ac:dyDescent="0.25">
      <c r="A283" s="109" t="s">
        <v>143</v>
      </c>
      <c r="B283" s="109">
        <f>20*0.746*8</f>
        <v>119.36</v>
      </c>
      <c r="C283" s="110">
        <v>10</v>
      </c>
      <c r="D283" s="156">
        <f t="shared" ref="D283:J283" si="59">$B$283*$C$283*D172*B10</f>
        <v>118166.39999999999</v>
      </c>
      <c r="E283" s="156">
        <f t="shared" si="59"/>
        <v>136607.51999999999</v>
      </c>
      <c r="F283" s="156">
        <f t="shared" si="59"/>
        <v>152649.50399999999</v>
      </c>
      <c r="G283" s="156">
        <f t="shared" si="59"/>
        <v>168572.4264</v>
      </c>
      <c r="H283" s="156">
        <f t="shared" si="59"/>
        <v>187156.84554000004</v>
      </c>
      <c r="I283" s="156">
        <f t="shared" si="59"/>
        <v>205654.90585500005</v>
      </c>
      <c r="J283" s="156">
        <f t="shared" si="59"/>
        <v>227134.41824430006</v>
      </c>
      <c r="K283" s="150"/>
      <c r="L283" s="150"/>
    </row>
    <row r="284" spans="1:12" x14ac:dyDescent="0.25">
      <c r="A284" s="109" t="s">
        <v>450</v>
      </c>
      <c r="B284" s="109"/>
      <c r="C284" s="110">
        <v>40</v>
      </c>
      <c r="D284" s="156">
        <f t="shared" ref="D284:J284" si="60">SUM(B120:B141)*$C$284*D172</f>
        <v>373443.97998599987</v>
      </c>
      <c r="E284" s="156">
        <f t="shared" si="60"/>
        <v>431327.79688382993</v>
      </c>
      <c r="F284" s="156">
        <f t="shared" si="60"/>
        <v>480342.31925699249</v>
      </c>
      <c r="G284" s="156">
        <f t="shared" si="60"/>
        <v>533179.97437526169</v>
      </c>
      <c r="H284" s="156">
        <f t="shared" si="60"/>
        <v>590100.5392072153</v>
      </c>
      <c r="I284" s="156">
        <f t="shared" si="60"/>
        <v>651380.21058642631</v>
      </c>
      <c r="J284" s="156">
        <f t="shared" si="60"/>
        <v>717312.59775554016</v>
      </c>
      <c r="K284" s="150"/>
      <c r="L284" s="150"/>
    </row>
    <row r="285" spans="1:12" x14ac:dyDescent="0.25">
      <c r="A285" s="109" t="s">
        <v>449</v>
      </c>
      <c r="B285" s="109"/>
      <c r="C285" s="110">
        <v>60</v>
      </c>
      <c r="D285" s="156">
        <f t="shared" ref="D285:J285" si="61">SUM(B120:B141)*$C$285*D172</f>
        <v>560165.96997899981</v>
      </c>
      <c r="E285" s="156">
        <f t="shared" si="61"/>
        <v>646991.69532574492</v>
      </c>
      <c r="F285" s="156">
        <f t="shared" si="61"/>
        <v>720513.4788854887</v>
      </c>
      <c r="G285" s="156">
        <f t="shared" si="61"/>
        <v>799769.96156289254</v>
      </c>
      <c r="H285" s="156">
        <f t="shared" si="61"/>
        <v>885150.8088108229</v>
      </c>
      <c r="I285" s="156">
        <f t="shared" si="61"/>
        <v>977070.31587963947</v>
      </c>
      <c r="J285" s="156">
        <f t="shared" si="61"/>
        <v>1075968.8966333102</v>
      </c>
      <c r="K285" s="150"/>
      <c r="L285" s="150"/>
    </row>
    <row r="286" spans="1:12" x14ac:dyDescent="0.25">
      <c r="A286" s="109"/>
      <c r="B286" s="109"/>
      <c r="C286" s="109"/>
      <c r="D286" s="109"/>
      <c r="E286" s="109"/>
      <c r="F286" s="109"/>
      <c r="G286" s="109"/>
      <c r="H286" s="109"/>
      <c r="I286" s="109"/>
      <c r="J286" s="109"/>
      <c r="K286" s="150"/>
      <c r="L286" s="150"/>
    </row>
    <row r="287" spans="1:12" x14ac:dyDescent="0.25">
      <c r="A287" s="109"/>
      <c r="B287" s="109"/>
      <c r="C287" s="109"/>
      <c r="D287" s="109"/>
      <c r="E287" s="109"/>
      <c r="F287" s="109"/>
      <c r="G287" s="109"/>
      <c r="H287" s="109"/>
      <c r="I287" s="109"/>
      <c r="J287" s="109"/>
      <c r="K287" s="150"/>
      <c r="L287" s="150"/>
    </row>
    <row r="288" spans="1:12" x14ac:dyDescent="0.25">
      <c r="A288" s="109"/>
      <c r="B288" s="109"/>
      <c r="C288" s="109"/>
      <c r="D288" s="109"/>
      <c r="E288" s="109"/>
      <c r="F288" s="109"/>
      <c r="G288" s="109"/>
      <c r="H288" s="109"/>
      <c r="I288" s="109"/>
      <c r="J288" s="109"/>
      <c r="K288" s="150"/>
      <c r="L288" s="150"/>
    </row>
    <row r="289" spans="1:20" x14ac:dyDescent="0.25">
      <c r="A289" s="133" t="s">
        <v>335</v>
      </c>
      <c r="B289" s="109"/>
      <c r="C289" s="109"/>
      <c r="D289" s="184"/>
      <c r="E289" s="184">
        <f>'5.Closing Stock &amp; W Capital'!F7</f>
        <v>0</v>
      </c>
      <c r="F289" s="184">
        <f>'5.Closing Stock &amp; W Capital'!G7</f>
        <v>0</v>
      </c>
      <c r="G289" s="184">
        <f>'5.Closing Stock &amp; W Capital'!H7</f>
        <v>0</v>
      </c>
      <c r="H289" s="184">
        <f>'5.Closing Stock &amp; W Capital'!I7</f>
        <v>0</v>
      </c>
      <c r="I289" s="184">
        <f>'5.Closing Stock &amp; W Capital'!J7</f>
        <v>0</v>
      </c>
      <c r="J289" s="184">
        <f>'5.Closing Stock &amp; W Capital'!K7</f>
        <v>0</v>
      </c>
      <c r="K289" s="150"/>
      <c r="L289" s="150"/>
    </row>
    <row r="290" spans="1:20" x14ac:dyDescent="0.25">
      <c r="A290" s="133" t="s">
        <v>336</v>
      </c>
      <c r="B290" s="109"/>
      <c r="C290" s="184"/>
      <c r="D290" s="184">
        <f>'5.Closing Stock &amp; W Capital'!E16</f>
        <v>0</v>
      </c>
      <c r="E290" s="184">
        <f>'5.Closing Stock &amp; W Capital'!F16</f>
        <v>0</v>
      </c>
      <c r="F290" s="184">
        <f>'5.Closing Stock &amp; W Capital'!G16</f>
        <v>0</v>
      </c>
      <c r="G290" s="184">
        <f>'5.Closing Stock &amp; W Capital'!H16</f>
        <v>0</v>
      </c>
      <c r="H290" s="184">
        <f>'5.Closing Stock &amp; W Capital'!I16</f>
        <v>0</v>
      </c>
      <c r="I290" s="184">
        <f>'5.Closing Stock &amp; W Capital'!J16</f>
        <v>0</v>
      </c>
      <c r="J290" s="184">
        <f>'5.Closing Stock &amp; W Capital'!K16</f>
        <v>0</v>
      </c>
      <c r="K290" s="150"/>
      <c r="L290" s="150"/>
    </row>
    <row r="291" spans="1:20" x14ac:dyDescent="0.25">
      <c r="A291" s="133"/>
      <c r="B291" s="109"/>
      <c r="C291" s="187"/>
      <c r="D291" s="184"/>
      <c r="E291" s="184"/>
      <c r="F291" s="184"/>
      <c r="G291" s="184"/>
      <c r="H291" s="184"/>
      <c r="I291" s="184"/>
      <c r="J291" s="184"/>
      <c r="K291" s="150"/>
      <c r="L291" s="150"/>
      <c r="M291" s="150"/>
      <c r="N291" s="150"/>
      <c r="O291" s="150"/>
      <c r="P291" s="150"/>
      <c r="Q291" s="150"/>
      <c r="R291" s="150"/>
      <c r="S291" s="150"/>
      <c r="T291" s="150"/>
    </row>
    <row r="292" spans="1:20" x14ac:dyDescent="0.25">
      <c r="A292" s="113" t="s">
        <v>313</v>
      </c>
      <c r="B292" s="113"/>
      <c r="C292" s="113"/>
      <c r="D292" s="155">
        <f t="shared" ref="D292:J292" si="62">SUM(D233:D289)-D290</f>
        <v>54879580.555964991</v>
      </c>
      <c r="E292" s="155">
        <f t="shared" si="62"/>
        <v>63386072.370139569</v>
      </c>
      <c r="F292" s="155">
        <f t="shared" si="62"/>
        <v>70589683.837109968</v>
      </c>
      <c r="G292" s="155">
        <f t="shared" si="62"/>
        <v>78353462.241152078</v>
      </c>
      <c r="H292" s="155">
        <f t="shared" si="62"/>
        <v>86718959.756140634</v>
      </c>
      <c r="I292" s="155">
        <f t="shared" si="62"/>
        <v>95723217.112883404</v>
      </c>
      <c r="J292" s="155">
        <f t="shared" si="62"/>
        <v>105413104.37275891</v>
      </c>
      <c r="K292" s="150"/>
      <c r="L292" s="150"/>
      <c r="M292" s="150"/>
      <c r="N292" s="150"/>
      <c r="O292" s="150"/>
      <c r="P292" s="150"/>
      <c r="Q292" s="150"/>
      <c r="R292" s="150"/>
      <c r="S292" s="150"/>
      <c r="T292" s="150"/>
    </row>
    <row r="293" spans="1:20" x14ac:dyDescent="0.25">
      <c r="A293" s="113" t="s">
        <v>303</v>
      </c>
      <c r="B293" s="109"/>
      <c r="C293" s="109"/>
      <c r="D293" s="188"/>
      <c r="E293" s="188"/>
      <c r="F293" s="188"/>
      <c r="G293" s="188"/>
      <c r="H293" s="188"/>
      <c r="I293" s="109"/>
      <c r="J293" s="109"/>
      <c r="K293" s="150"/>
      <c r="L293" s="150"/>
      <c r="M293" s="150"/>
      <c r="N293" s="150"/>
      <c r="O293" s="150"/>
      <c r="P293" s="150"/>
      <c r="Q293" s="150"/>
      <c r="R293" s="150"/>
      <c r="S293" s="150"/>
      <c r="T293" s="150"/>
    </row>
    <row r="294" spans="1:20" x14ac:dyDescent="0.25">
      <c r="A294" s="109" t="s">
        <v>187</v>
      </c>
      <c r="B294" s="110">
        <v>1</v>
      </c>
      <c r="C294" s="168">
        <v>15000</v>
      </c>
      <c r="D294" s="156">
        <f t="shared" ref="D294:J294" si="63">$B$294*$C$294*12*D172</f>
        <v>180000</v>
      </c>
      <c r="E294" s="156">
        <f t="shared" si="63"/>
        <v>189000</v>
      </c>
      <c r="F294" s="156">
        <f t="shared" si="63"/>
        <v>198450</v>
      </c>
      <c r="G294" s="156">
        <f t="shared" si="63"/>
        <v>208372.50000000003</v>
      </c>
      <c r="H294" s="156">
        <f t="shared" si="63"/>
        <v>218791.12500000003</v>
      </c>
      <c r="I294" s="156">
        <f t="shared" si="63"/>
        <v>229730.68125000005</v>
      </c>
      <c r="J294" s="156">
        <f t="shared" si="63"/>
        <v>241217.21531250008</v>
      </c>
      <c r="K294" s="150"/>
      <c r="L294" s="150"/>
      <c r="M294" s="150"/>
      <c r="N294" s="150"/>
      <c r="O294" s="150"/>
      <c r="P294" s="150"/>
      <c r="Q294" s="150"/>
      <c r="R294" s="150"/>
      <c r="S294" s="150"/>
      <c r="T294" s="150"/>
    </row>
    <row r="295" spans="1:20" x14ac:dyDescent="0.25">
      <c r="A295" s="109" t="s">
        <v>682</v>
      </c>
      <c r="B295" s="110">
        <v>3</v>
      </c>
      <c r="C295" s="168">
        <v>300</v>
      </c>
      <c r="D295" s="156">
        <f>$B$295*$C$295*12*D172</f>
        <v>10800</v>
      </c>
      <c r="E295" s="156">
        <f t="shared" ref="E295:J295" si="64">$B$295*$C$295*12*E172</f>
        <v>11340</v>
      </c>
      <c r="F295" s="156">
        <f t="shared" si="64"/>
        <v>11907</v>
      </c>
      <c r="G295" s="156">
        <f t="shared" si="64"/>
        <v>12502.350000000002</v>
      </c>
      <c r="H295" s="156">
        <f t="shared" si="64"/>
        <v>13127.467500000002</v>
      </c>
      <c r="I295" s="156">
        <f t="shared" si="64"/>
        <v>13783.840875000004</v>
      </c>
      <c r="J295" s="156">
        <f t="shared" si="64"/>
        <v>14473.032918750005</v>
      </c>
      <c r="K295" s="150"/>
      <c r="L295" s="150"/>
      <c r="M295" s="150"/>
      <c r="N295" s="189"/>
      <c r="O295" s="150"/>
      <c r="P295" s="150"/>
      <c r="Q295" s="150"/>
      <c r="R295" s="150"/>
      <c r="S295" s="150"/>
      <c r="T295" s="150"/>
    </row>
    <row r="296" spans="1:20" x14ac:dyDescent="0.25">
      <c r="A296" s="109"/>
      <c r="B296" s="110"/>
      <c r="C296" s="168"/>
      <c r="D296" s="156"/>
      <c r="E296" s="156"/>
      <c r="F296" s="156"/>
      <c r="G296" s="156"/>
      <c r="H296" s="156"/>
      <c r="I296" s="156"/>
      <c r="J296" s="156"/>
      <c r="K296" s="150"/>
      <c r="L296" s="150"/>
      <c r="M296" s="150"/>
      <c r="N296" s="150"/>
      <c r="O296" s="150"/>
      <c r="P296" s="150"/>
      <c r="Q296" s="150"/>
      <c r="R296" s="150"/>
      <c r="S296" s="150"/>
      <c r="T296" s="150"/>
    </row>
    <row r="297" spans="1:20" x14ac:dyDescent="0.25">
      <c r="A297" s="109"/>
      <c r="B297" s="110"/>
      <c r="C297" s="168"/>
      <c r="D297" s="156"/>
      <c r="E297" s="156"/>
      <c r="F297" s="156"/>
      <c r="G297" s="156"/>
      <c r="H297" s="156"/>
      <c r="I297" s="156"/>
      <c r="J297" s="156"/>
      <c r="K297" s="150"/>
      <c r="L297" s="150"/>
      <c r="M297" s="150"/>
      <c r="N297" s="150"/>
      <c r="O297" s="150"/>
      <c r="P297" s="150"/>
      <c r="Q297" s="150"/>
      <c r="R297" s="150"/>
      <c r="S297" s="150"/>
      <c r="T297" s="150"/>
    </row>
    <row r="298" spans="1:20" x14ac:dyDescent="0.25">
      <c r="A298" s="109"/>
      <c r="B298" s="110"/>
      <c r="C298" s="168"/>
      <c r="D298" s="156"/>
      <c r="E298" s="156"/>
      <c r="F298" s="156"/>
      <c r="G298" s="156"/>
      <c r="H298" s="156"/>
      <c r="I298" s="156"/>
      <c r="J298" s="156"/>
      <c r="K298" s="150"/>
      <c r="L298" s="150"/>
      <c r="M298" s="150"/>
      <c r="N298" s="150"/>
      <c r="O298" s="150"/>
      <c r="P298" s="150"/>
      <c r="Q298" s="150"/>
      <c r="R298" s="150"/>
      <c r="S298" s="150"/>
      <c r="T298" s="150"/>
    </row>
    <row r="299" spans="1:20" x14ac:dyDescent="0.25">
      <c r="A299" s="109"/>
      <c r="B299" s="110"/>
      <c r="C299" s="168"/>
      <c r="D299" s="156"/>
      <c r="E299" s="156"/>
      <c r="F299" s="156"/>
      <c r="G299" s="156"/>
      <c r="H299" s="156"/>
      <c r="I299" s="156"/>
      <c r="J299" s="156"/>
      <c r="K299" s="150"/>
      <c r="L299" s="150"/>
      <c r="M299" s="150"/>
      <c r="N299" s="150"/>
      <c r="O299" s="150"/>
      <c r="P299" s="150"/>
      <c r="Q299" s="150"/>
      <c r="R299" s="150"/>
      <c r="S299" s="150"/>
      <c r="T299" s="150"/>
    </row>
    <row r="300" spans="1:20" x14ac:dyDescent="0.25">
      <c r="A300" s="109"/>
      <c r="B300" s="110"/>
      <c r="C300" s="168"/>
      <c r="D300" s="156"/>
      <c r="E300" s="156"/>
      <c r="F300" s="156"/>
      <c r="G300" s="156"/>
      <c r="H300" s="156"/>
      <c r="I300" s="156"/>
      <c r="J300" s="156"/>
      <c r="K300" s="150"/>
      <c r="L300" s="150"/>
      <c r="M300" s="150"/>
      <c r="N300" s="150"/>
      <c r="O300" s="150"/>
      <c r="P300" s="150"/>
      <c r="Q300" s="150"/>
      <c r="R300" s="150"/>
      <c r="S300" s="150"/>
      <c r="T300" s="150"/>
    </row>
    <row r="301" spans="1:20" x14ac:dyDescent="0.25">
      <c r="A301" s="113" t="s">
        <v>317</v>
      </c>
      <c r="B301" s="118"/>
      <c r="C301" s="118"/>
      <c r="D301" s="155">
        <f t="shared" ref="D301:J301" si="65">SUM(D294:D300)</f>
        <v>190800</v>
      </c>
      <c r="E301" s="155">
        <f t="shared" si="65"/>
        <v>200340</v>
      </c>
      <c r="F301" s="155">
        <f t="shared" si="65"/>
        <v>210357</v>
      </c>
      <c r="G301" s="155">
        <f t="shared" si="65"/>
        <v>220874.85000000003</v>
      </c>
      <c r="H301" s="155">
        <f t="shared" si="65"/>
        <v>231918.59250000003</v>
      </c>
      <c r="I301" s="155">
        <f t="shared" si="65"/>
        <v>243514.52212500005</v>
      </c>
      <c r="J301" s="155">
        <f t="shared" si="65"/>
        <v>255690.24823125009</v>
      </c>
      <c r="K301" s="150"/>
      <c r="L301" s="150"/>
      <c r="M301" s="150"/>
      <c r="N301" s="189"/>
      <c r="O301" s="150"/>
      <c r="P301" s="150"/>
      <c r="Q301" s="150"/>
      <c r="R301" s="150"/>
      <c r="S301" s="150"/>
      <c r="T301" s="150"/>
    </row>
    <row r="302" spans="1:20" x14ac:dyDescent="0.25">
      <c r="A302" s="113" t="s">
        <v>129</v>
      </c>
      <c r="B302" s="113"/>
      <c r="C302" s="113"/>
      <c r="D302" s="155">
        <f t="shared" ref="D302:J302" si="66">D292+D301</f>
        <v>55070380.555964991</v>
      </c>
      <c r="E302" s="155">
        <f t="shared" si="66"/>
        <v>63586412.370139569</v>
      </c>
      <c r="F302" s="155">
        <f t="shared" si="66"/>
        <v>70800040.837109968</v>
      </c>
      <c r="G302" s="155">
        <f t="shared" si="66"/>
        <v>78574337.091152072</v>
      </c>
      <c r="H302" s="155">
        <f t="shared" si="66"/>
        <v>86950878.348640636</v>
      </c>
      <c r="I302" s="155">
        <f t="shared" si="66"/>
        <v>95966731.63500841</v>
      </c>
      <c r="J302" s="155">
        <f t="shared" si="66"/>
        <v>105668794.62099016</v>
      </c>
      <c r="K302" s="150"/>
      <c r="L302" s="150"/>
      <c r="M302" s="150"/>
      <c r="N302" s="150"/>
      <c r="O302" s="150"/>
      <c r="P302" s="150"/>
      <c r="Q302" s="150"/>
      <c r="R302" s="150"/>
      <c r="S302" s="150"/>
      <c r="T302" s="150"/>
    </row>
    <row r="303" spans="1:20" x14ac:dyDescent="0.25">
      <c r="A303" s="109"/>
      <c r="B303" s="109"/>
      <c r="C303" s="109"/>
      <c r="D303" s="188"/>
      <c r="E303" s="188"/>
      <c r="F303" s="188"/>
      <c r="G303" s="188"/>
      <c r="H303" s="188"/>
      <c r="I303" s="109"/>
      <c r="J303" s="109"/>
      <c r="K303" s="150"/>
      <c r="L303" s="150"/>
      <c r="M303" s="150"/>
      <c r="N303" s="150"/>
      <c r="O303" s="150"/>
      <c r="P303" s="150"/>
      <c r="Q303" s="150"/>
      <c r="R303" s="150"/>
      <c r="S303" s="150"/>
      <c r="T303" s="150"/>
    </row>
    <row r="304" spans="1:20" x14ac:dyDescent="0.25">
      <c r="A304" s="113"/>
      <c r="B304" s="113"/>
      <c r="C304" s="113"/>
      <c r="D304" s="188"/>
      <c r="E304" s="188"/>
      <c r="F304" s="188"/>
      <c r="G304" s="188"/>
      <c r="H304" s="188"/>
      <c r="I304" s="109"/>
      <c r="J304" s="109"/>
      <c r="K304" s="150"/>
      <c r="L304" s="150"/>
      <c r="M304" s="150"/>
      <c r="N304" s="150"/>
      <c r="O304" s="150"/>
      <c r="P304" s="150"/>
      <c r="Q304" s="150"/>
      <c r="R304" s="150"/>
      <c r="S304" s="150"/>
      <c r="T304" s="150"/>
    </row>
    <row r="305" spans="1:20" x14ac:dyDescent="0.25">
      <c r="A305" s="113" t="s">
        <v>307</v>
      </c>
      <c r="B305" s="113"/>
      <c r="C305" s="113"/>
      <c r="D305" s="155">
        <f t="shared" ref="D305:J305" si="67">D229-D302</f>
        <v>4383905.3639099896</v>
      </c>
      <c r="E305" s="155">
        <f t="shared" si="67"/>
        <v>5083287.8673160374</v>
      </c>
      <c r="F305" s="155">
        <f t="shared" si="67"/>
        <v>5673034.4273292422</v>
      </c>
      <c r="G305" s="155">
        <f t="shared" si="67"/>
        <v>6310776.4523754567</v>
      </c>
      <c r="H305" s="155">
        <f t="shared" si="67"/>
        <v>6996294.6137229353</v>
      </c>
      <c r="I305" s="155">
        <f t="shared" si="67"/>
        <v>7736493.9042160362</v>
      </c>
      <c r="J305" s="155">
        <f t="shared" si="67"/>
        <v>8531220.8203752786</v>
      </c>
      <c r="K305" s="150"/>
      <c r="L305" s="150"/>
      <c r="M305" s="150"/>
      <c r="N305" s="150"/>
      <c r="O305" s="150"/>
      <c r="P305" s="150"/>
      <c r="Q305" s="150"/>
      <c r="R305" s="150"/>
      <c r="S305" s="150"/>
      <c r="T305" s="150"/>
    </row>
    <row r="306" spans="1:20" x14ac:dyDescent="0.25">
      <c r="A306" s="150"/>
      <c r="B306" s="150"/>
      <c r="C306" s="150"/>
      <c r="D306" s="150"/>
      <c r="E306" s="150"/>
      <c r="F306" s="150"/>
      <c r="G306" s="150"/>
      <c r="H306" s="150"/>
      <c r="I306" s="150"/>
      <c r="J306" s="150"/>
    </row>
    <row r="307" spans="1:20" x14ac:dyDescent="0.25">
      <c r="A307" s="150" t="s">
        <v>50</v>
      </c>
      <c r="B307" s="150"/>
      <c r="C307" s="150"/>
      <c r="D307" s="422">
        <f>D305/D229</f>
        <v>7.3735733195384207E-2</v>
      </c>
      <c r="E307" s="150">
        <f t="shared" ref="E307:J307" si="68">E305/E229</f>
        <v>7.4025193786172658E-2</v>
      </c>
      <c r="F307" s="150">
        <f t="shared" si="68"/>
        <v>7.4183422174565847E-2</v>
      </c>
      <c r="G307" s="150">
        <f t="shared" si="68"/>
        <v>7.43449138362689E-2</v>
      </c>
      <c r="H307" s="150">
        <f t="shared" si="68"/>
        <v>7.4470517772000866E-2</v>
      </c>
      <c r="I307" s="150">
        <f t="shared" si="68"/>
        <v>7.4602249486346056E-2</v>
      </c>
      <c r="J307" s="150">
        <f t="shared" si="68"/>
        <v>7.470420023502998E-2</v>
      </c>
    </row>
    <row r="308" spans="1:20" x14ac:dyDescent="0.25">
      <c r="A308" s="483" t="s">
        <v>413</v>
      </c>
      <c r="B308" s="483"/>
      <c r="C308" s="483"/>
      <c r="D308" s="483"/>
      <c r="E308" s="483"/>
      <c r="F308" s="483"/>
      <c r="G308" s="483"/>
      <c r="H308" s="483"/>
      <c r="I308" s="483"/>
      <c r="J308" s="483"/>
    </row>
    <row r="310" spans="1:20" x14ac:dyDescent="0.25">
      <c r="A310" s="104" t="s">
        <v>530</v>
      </c>
    </row>
    <row r="311" spans="1:20" x14ac:dyDescent="0.25">
      <c r="A311" s="104">
        <v>1</v>
      </c>
      <c r="B311" s="104" t="s">
        <v>543</v>
      </c>
    </row>
    <row r="312" spans="1:20" x14ac:dyDescent="0.25">
      <c r="A312" s="104">
        <v>2</v>
      </c>
      <c r="B312" s="104" t="s">
        <v>544</v>
      </c>
    </row>
    <row r="313" spans="1:20" x14ac:dyDescent="0.25">
      <c r="A313" s="104">
        <v>3</v>
      </c>
      <c r="B313" s="150" t="s">
        <v>595</v>
      </c>
    </row>
  </sheetData>
  <mergeCells count="5">
    <mergeCell ref="A170:J170"/>
    <mergeCell ref="A308:J308"/>
    <mergeCell ref="A2:H2"/>
    <mergeCell ref="F4:H4"/>
    <mergeCell ref="A3:H3"/>
  </mergeCells>
  <pageMargins left="0.7" right="0.7" top="0.75" bottom="0.75" header="0.3" footer="0.3"/>
  <pageSetup paperSize="9" scale="43" orientation="portrait" r:id="rId1"/>
  <rowBreaks count="2" manualBreakCount="2">
    <brk id="112" max="9" man="1"/>
    <brk id="22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189"/>
  <sheetViews>
    <sheetView topLeftCell="A121" zoomScale="90" zoomScaleNormal="90" zoomScaleSheetLayoutView="100" workbookViewId="0">
      <selection activeCell="A126" sqref="A126"/>
    </sheetView>
  </sheetViews>
  <sheetFormatPr defaultColWidth="10" defaultRowHeight="15" x14ac:dyDescent="0.25"/>
  <cols>
    <col min="1" max="1" width="41.7109375" style="104" customWidth="1"/>
    <col min="2" max="6" width="19" style="104" customWidth="1"/>
    <col min="7" max="8" width="17.28515625" style="104" customWidth="1"/>
    <col min="9" max="10" width="16.7109375" style="104" customWidth="1"/>
    <col min="11" max="11" width="10" style="104"/>
    <col min="12" max="12" width="11.28515625" style="104" bestFit="1" customWidth="1"/>
    <col min="13" max="16384" width="10" style="104"/>
  </cols>
  <sheetData>
    <row r="3" spans="1:18" ht="18.75" x14ac:dyDescent="0.3">
      <c r="A3" s="479" t="s">
        <v>579</v>
      </c>
      <c r="B3" s="479"/>
      <c r="C3" s="479"/>
      <c r="D3" s="479"/>
      <c r="E3" s="479"/>
      <c r="F3" s="479"/>
      <c r="G3" s="479"/>
      <c r="H3" s="479"/>
    </row>
    <row r="4" spans="1:18" ht="18.75" x14ac:dyDescent="0.3">
      <c r="A4" s="479" t="s">
        <v>580</v>
      </c>
      <c r="B4" s="479"/>
      <c r="C4" s="479"/>
      <c r="D4" s="479"/>
      <c r="E4" s="479"/>
      <c r="F4" s="479"/>
      <c r="G4" s="479"/>
      <c r="H4" s="479"/>
    </row>
    <row r="5" spans="1:18" x14ac:dyDescent="0.25">
      <c r="A5" s="150" t="s">
        <v>160</v>
      </c>
      <c r="B5" s="151">
        <v>13.5</v>
      </c>
      <c r="C5" s="150" t="s">
        <v>460</v>
      </c>
      <c r="D5" s="150" t="s">
        <v>766</v>
      </c>
      <c r="E5" s="150"/>
      <c r="F5" s="150"/>
      <c r="G5" s="150"/>
      <c r="H5" s="150"/>
    </row>
    <row r="6" spans="1:18" x14ac:dyDescent="0.25">
      <c r="A6" s="150" t="s">
        <v>161</v>
      </c>
      <c r="B6" s="152">
        <v>8</v>
      </c>
      <c r="C6" s="150"/>
      <c r="D6" s="150" t="s">
        <v>768</v>
      </c>
      <c r="E6" s="150"/>
      <c r="F6" s="150"/>
      <c r="G6" s="150"/>
      <c r="H6" s="150"/>
      <c r="J6" s="104">
        <f>15*0.9</f>
        <v>13.5</v>
      </c>
    </row>
    <row r="7" spans="1:18" x14ac:dyDescent="0.25">
      <c r="A7" s="150"/>
      <c r="B7" s="152"/>
      <c r="C7" s="150"/>
      <c r="D7" s="150"/>
      <c r="E7" s="150"/>
      <c r="F7" s="150"/>
      <c r="G7" s="150"/>
      <c r="H7" s="150"/>
    </row>
    <row r="8" spans="1:18" x14ac:dyDescent="0.25">
      <c r="A8" s="150"/>
      <c r="B8" s="152"/>
      <c r="C8" s="150"/>
      <c r="D8" s="150"/>
      <c r="E8" s="150"/>
      <c r="F8" s="150"/>
      <c r="G8" s="150"/>
      <c r="H8" s="150"/>
      <c r="J8" s="153"/>
    </row>
    <row r="9" spans="1:18" x14ac:dyDescent="0.25">
      <c r="A9" s="150"/>
      <c r="B9" s="150"/>
      <c r="C9" s="150"/>
      <c r="D9" s="150"/>
      <c r="E9" s="150"/>
      <c r="F9" s="150"/>
      <c r="G9" s="150"/>
      <c r="H9" s="150"/>
    </row>
    <row r="10" spans="1:18" x14ac:dyDescent="0.25">
      <c r="A10" s="150"/>
      <c r="B10" s="150"/>
      <c r="C10" s="150"/>
      <c r="D10" s="150"/>
      <c r="E10" s="150"/>
      <c r="F10" s="150"/>
      <c r="G10" s="150"/>
      <c r="H10" s="150"/>
    </row>
    <row r="11" spans="1:18" x14ac:dyDescent="0.25">
      <c r="A11" s="106" t="s">
        <v>0</v>
      </c>
      <c r="B11" s="107" t="s">
        <v>2</v>
      </c>
      <c r="C11" s="107" t="s">
        <v>3</v>
      </c>
      <c r="D11" s="107" t="s">
        <v>4</v>
      </c>
      <c r="E11" s="107" t="s">
        <v>5</v>
      </c>
      <c r="F11" s="107" t="s">
        <v>6</v>
      </c>
      <c r="G11" s="107" t="s">
        <v>168</v>
      </c>
      <c r="H11" s="107" t="s">
        <v>167</v>
      </c>
    </row>
    <row r="12" spans="1:18" x14ac:dyDescent="0.25">
      <c r="A12" s="109" t="s">
        <v>169</v>
      </c>
      <c r="B12" s="126">
        <f>ROUND((B32/($B$5*$B$6)),0)</f>
        <v>105</v>
      </c>
      <c r="C12" s="126">
        <f t="shared" ref="C12:G12" si="0">ROUND((C32/($B$5*$B$6)),0)</f>
        <v>118</v>
      </c>
      <c r="D12" s="126">
        <f t="shared" si="0"/>
        <v>130</v>
      </c>
      <c r="E12" s="126">
        <f t="shared" si="0"/>
        <v>143</v>
      </c>
      <c r="F12" s="126">
        <f t="shared" si="0"/>
        <v>156</v>
      </c>
      <c r="G12" s="126">
        <f t="shared" si="0"/>
        <v>168</v>
      </c>
      <c r="H12" s="126">
        <f>ROUND((H32/($B$5*$B$6)),0)</f>
        <v>181</v>
      </c>
      <c r="K12" s="161"/>
      <c r="L12" s="161"/>
      <c r="M12" s="161"/>
      <c r="N12" s="161"/>
      <c r="O12" s="161"/>
      <c r="P12" s="161"/>
      <c r="Q12" s="161"/>
      <c r="R12" s="161"/>
    </row>
    <row r="13" spans="1:18" x14ac:dyDescent="0.25">
      <c r="A13" s="109">
        <f>'10.Grain Production details'!A67</f>
        <v>0</v>
      </c>
      <c r="B13" s="126">
        <f>'10.Grain Production details'!B67</f>
        <v>0</v>
      </c>
      <c r="C13" s="109">
        <f>'10.Grain Production details'!C67</f>
        <v>0</v>
      </c>
      <c r="D13" s="109">
        <f>'10.Grain Production details'!D67</f>
        <v>0</v>
      </c>
      <c r="E13" s="109">
        <f>'10.Grain Production details'!E67</f>
        <v>0</v>
      </c>
      <c r="F13" s="109">
        <f>'10.Grain Production details'!F67</f>
        <v>0</v>
      </c>
      <c r="G13" s="109">
        <f>'10.Grain Production details'!G67</f>
        <v>0</v>
      </c>
      <c r="H13" s="109">
        <f>'10.Grain Production details'!H67</f>
        <v>0</v>
      </c>
      <c r="K13" s="157"/>
      <c r="L13" s="157"/>
      <c r="M13" s="157"/>
      <c r="N13" s="157"/>
      <c r="O13" s="157"/>
      <c r="P13" s="157"/>
      <c r="Q13" s="157"/>
    </row>
    <row r="14" spans="1:18" x14ac:dyDescent="0.25">
      <c r="A14" s="109" t="str">
        <f>'10.Grain Production details'!A71</f>
        <v>Red Gram/Tur</v>
      </c>
      <c r="B14" s="126">
        <f>'10.Grain Production details'!B71</f>
        <v>5130.3367499999995</v>
      </c>
      <c r="C14" s="126">
        <f>'10.Grain Production details'!C71</f>
        <v>5745.9771600000004</v>
      </c>
      <c r="D14" s="126">
        <f>'10.Grain Production details'!D71</f>
        <v>6361.6175700000003</v>
      </c>
      <c r="E14" s="126">
        <f>'10.Grain Production details'!E71</f>
        <v>6977.2579800000012</v>
      </c>
      <c r="F14" s="126">
        <f>'10.Grain Production details'!F71</f>
        <v>7592.8983900000012</v>
      </c>
      <c r="G14" s="126">
        <f>'10.Grain Production details'!G71</f>
        <v>8208.5388000000021</v>
      </c>
      <c r="H14" s="126">
        <f>'10.Grain Production details'!H71</f>
        <v>8824.1792100000021</v>
      </c>
    </row>
    <row r="15" spans="1:18" hidden="1" x14ac:dyDescent="0.25">
      <c r="A15" s="109" t="str">
        <f>'10.Grain Production details'!A72</f>
        <v>Paddy/Rice</v>
      </c>
      <c r="B15" s="126">
        <f>'10.Grain Production details'!B72</f>
        <v>0</v>
      </c>
      <c r="C15" s="126">
        <f>'10.Grain Production details'!C72</f>
        <v>0</v>
      </c>
      <c r="D15" s="126">
        <f>'10.Grain Production details'!D72</f>
        <v>0</v>
      </c>
      <c r="E15" s="126">
        <f>'10.Grain Production details'!E72</f>
        <v>0</v>
      </c>
      <c r="F15" s="126">
        <f>'10.Grain Production details'!F72</f>
        <v>0</v>
      </c>
      <c r="G15" s="126">
        <f>'10.Grain Production details'!G72</f>
        <v>0</v>
      </c>
      <c r="H15" s="126">
        <f>'10.Grain Production details'!H72</f>
        <v>0</v>
      </c>
    </row>
    <row r="16" spans="1:18" x14ac:dyDescent="0.25">
      <c r="A16" s="109" t="str">
        <f>'10.Grain Production details'!A73</f>
        <v>Green Gram/ Moong</v>
      </c>
      <c r="B16" s="126">
        <f>'10.Grain Production details'!B73</f>
        <v>1386.5775000000001</v>
      </c>
      <c r="C16" s="126">
        <f>'10.Grain Production details'!C73</f>
        <v>1552.9668000000001</v>
      </c>
      <c r="D16" s="126">
        <f>'10.Grain Production details'!D73</f>
        <v>1719.3561000000004</v>
      </c>
      <c r="E16" s="126">
        <f>'10.Grain Production details'!E73</f>
        <v>1885.7454000000005</v>
      </c>
      <c r="F16" s="126">
        <f>'10.Grain Production details'!F73</f>
        <v>2052.1347000000005</v>
      </c>
      <c r="G16" s="126">
        <f>'10.Grain Production details'!G73</f>
        <v>2218.5240000000003</v>
      </c>
      <c r="H16" s="126">
        <f>'10.Grain Production details'!H73</f>
        <v>2384.9133000000002</v>
      </c>
    </row>
    <row r="17" spans="1:8" hidden="1" x14ac:dyDescent="0.25">
      <c r="A17" s="109" t="str">
        <f>'10.Grain Production details'!A74</f>
        <v>Maize</v>
      </c>
      <c r="B17" s="126">
        <f>'10.Grain Production details'!B74</f>
        <v>0</v>
      </c>
      <c r="C17" s="126">
        <f>'10.Grain Production details'!C74</f>
        <v>0</v>
      </c>
      <c r="D17" s="126">
        <f>'10.Grain Production details'!D74</f>
        <v>0</v>
      </c>
      <c r="E17" s="126">
        <f>'10.Grain Production details'!E74</f>
        <v>0</v>
      </c>
      <c r="F17" s="126">
        <f>'10.Grain Production details'!F74</f>
        <v>0</v>
      </c>
      <c r="G17" s="126">
        <f>'10.Grain Production details'!G74</f>
        <v>0</v>
      </c>
      <c r="H17" s="126">
        <f>'10.Grain Production details'!H74</f>
        <v>0</v>
      </c>
    </row>
    <row r="18" spans="1:8" x14ac:dyDescent="0.25">
      <c r="A18" s="109" t="str">
        <f>'10.Grain Production details'!A75</f>
        <v>Black Gram/Udid</v>
      </c>
      <c r="B18" s="126">
        <f>'10.Grain Production details'!B75</f>
        <v>0</v>
      </c>
      <c r="C18" s="126">
        <f>'10.Grain Production details'!C75</f>
        <v>0</v>
      </c>
      <c r="D18" s="126">
        <f>'10.Grain Production details'!D75</f>
        <v>0</v>
      </c>
      <c r="E18" s="126">
        <f>'10.Grain Production details'!E75</f>
        <v>0</v>
      </c>
      <c r="F18" s="126">
        <f>'10.Grain Production details'!F75</f>
        <v>0</v>
      </c>
      <c r="G18" s="126">
        <f>'10.Grain Production details'!G75</f>
        <v>0</v>
      </c>
      <c r="H18" s="126">
        <f>'10.Grain Production details'!H75</f>
        <v>0</v>
      </c>
    </row>
    <row r="19" spans="1:8" hidden="1" x14ac:dyDescent="0.25">
      <c r="A19" s="109" t="str">
        <f>'10.Grain Production details'!A76</f>
        <v>Bajra</v>
      </c>
      <c r="B19" s="126">
        <f>'10.Grain Production details'!B76</f>
        <v>0</v>
      </c>
      <c r="C19" s="126">
        <f>'10.Grain Production details'!C76</f>
        <v>0</v>
      </c>
      <c r="D19" s="126">
        <f>'10.Grain Production details'!D76</f>
        <v>0</v>
      </c>
      <c r="E19" s="126">
        <f>'10.Grain Production details'!E76</f>
        <v>0</v>
      </c>
      <c r="F19" s="126">
        <f>'10.Grain Production details'!F76</f>
        <v>0</v>
      </c>
      <c r="G19" s="126">
        <f>'10.Grain Production details'!G76</f>
        <v>0</v>
      </c>
      <c r="H19" s="126">
        <f>'10.Grain Production details'!H76</f>
        <v>0</v>
      </c>
    </row>
    <row r="20" spans="1:8" hidden="1" x14ac:dyDescent="0.25">
      <c r="A20" s="109" t="str">
        <f>'10.Grain Production details'!A77</f>
        <v>Jawar</v>
      </c>
      <c r="B20" s="126">
        <f>'10.Grain Production details'!B77</f>
        <v>0</v>
      </c>
      <c r="C20" s="126">
        <f>'10.Grain Production details'!C77</f>
        <v>0</v>
      </c>
      <c r="D20" s="126">
        <f>'10.Grain Production details'!D77</f>
        <v>0</v>
      </c>
      <c r="E20" s="126">
        <f>'10.Grain Production details'!E77</f>
        <v>0</v>
      </c>
      <c r="F20" s="126">
        <f>'10.Grain Production details'!F77</f>
        <v>0</v>
      </c>
      <c r="G20" s="126">
        <f>'10.Grain Production details'!G77</f>
        <v>0</v>
      </c>
      <c r="H20" s="126">
        <f>'10.Grain Production details'!H77</f>
        <v>0</v>
      </c>
    </row>
    <row r="21" spans="1:8" hidden="1" x14ac:dyDescent="0.25">
      <c r="A21" s="109" t="str">
        <f>'10.Grain Production details'!A78</f>
        <v>Sunflower</v>
      </c>
      <c r="B21" s="126">
        <f>'10.Grain Production details'!B78</f>
        <v>0</v>
      </c>
      <c r="C21" s="126">
        <f>'10.Grain Production details'!C78</f>
        <v>0</v>
      </c>
      <c r="D21" s="126">
        <f>'10.Grain Production details'!D78</f>
        <v>0</v>
      </c>
      <c r="E21" s="126">
        <f>'10.Grain Production details'!E78</f>
        <v>0</v>
      </c>
      <c r="F21" s="126">
        <f>'10.Grain Production details'!F78</f>
        <v>0</v>
      </c>
      <c r="G21" s="126">
        <f>'10.Grain Production details'!G78</f>
        <v>0</v>
      </c>
      <c r="H21" s="126">
        <f>'10.Grain Production details'!H78</f>
        <v>0</v>
      </c>
    </row>
    <row r="22" spans="1:8" hidden="1" x14ac:dyDescent="0.25">
      <c r="A22" s="109" t="str">
        <f>'10.Grain Production details'!A79</f>
        <v>Wheat</v>
      </c>
      <c r="B22" s="126">
        <f>'10.Grain Production details'!B79</f>
        <v>0</v>
      </c>
      <c r="C22" s="126">
        <f>'10.Grain Production details'!C79</f>
        <v>0</v>
      </c>
      <c r="D22" s="126">
        <f>'10.Grain Production details'!D79</f>
        <v>0</v>
      </c>
      <c r="E22" s="126">
        <f>'10.Grain Production details'!E79</f>
        <v>0</v>
      </c>
      <c r="F22" s="126">
        <f>'10.Grain Production details'!F79</f>
        <v>0</v>
      </c>
      <c r="G22" s="126">
        <f>'10.Grain Production details'!G79</f>
        <v>0</v>
      </c>
      <c r="H22" s="126">
        <f>'10.Grain Production details'!H79</f>
        <v>0</v>
      </c>
    </row>
    <row r="23" spans="1:8" x14ac:dyDescent="0.25">
      <c r="A23" s="109" t="str">
        <f>'10.Grain Production details'!A80</f>
        <v>Bengal Gram/Channa</v>
      </c>
      <c r="B23" s="126">
        <f>'10.Grain Production details'!B80</f>
        <v>4838.8725000000004</v>
      </c>
      <c r="C23" s="126">
        <f>'10.Grain Production details'!C80</f>
        <v>5419.5372000000007</v>
      </c>
      <c r="D23" s="126">
        <f>'10.Grain Production details'!D80</f>
        <v>6000.2019000000018</v>
      </c>
      <c r="E23" s="126">
        <f>'10.Grain Production details'!E80</f>
        <v>6580.8666000000021</v>
      </c>
      <c r="F23" s="126">
        <f>'10.Grain Production details'!F80</f>
        <v>7161.5313000000024</v>
      </c>
      <c r="G23" s="126">
        <f>'10.Grain Production details'!G80</f>
        <v>7742.1960000000036</v>
      </c>
      <c r="H23" s="126">
        <f>'10.Grain Production details'!H80</f>
        <v>8322.8607000000029</v>
      </c>
    </row>
    <row r="24" spans="1:8" hidden="1" x14ac:dyDescent="0.25">
      <c r="A24" s="109" t="str">
        <f>'10.Grain Production details'!A81</f>
        <v>Jawar</v>
      </c>
      <c r="B24" s="126">
        <f>'10.Grain Production details'!B81</f>
        <v>0</v>
      </c>
      <c r="C24" s="126">
        <f>'10.Grain Production details'!C81</f>
        <v>0</v>
      </c>
      <c r="D24" s="126">
        <f>'10.Grain Production details'!D81</f>
        <v>0</v>
      </c>
      <c r="E24" s="126">
        <f>'10.Grain Production details'!E81</f>
        <v>0</v>
      </c>
      <c r="F24" s="126">
        <f>'10.Grain Production details'!F81</f>
        <v>0</v>
      </c>
      <c r="G24" s="126">
        <f>'10.Grain Production details'!G81</f>
        <v>0</v>
      </c>
      <c r="H24" s="126">
        <f>'10.Grain Production details'!H81</f>
        <v>0</v>
      </c>
    </row>
    <row r="25" spans="1:8" hidden="1" x14ac:dyDescent="0.25">
      <c r="A25" s="109" t="str">
        <f>'10.Grain Production details'!A82</f>
        <v>Maize</v>
      </c>
      <c r="B25" s="126">
        <f>'10.Grain Production details'!B82</f>
        <v>0</v>
      </c>
      <c r="C25" s="126">
        <f>'10.Grain Production details'!C82</f>
        <v>0</v>
      </c>
      <c r="D25" s="126">
        <f>'10.Grain Production details'!D82</f>
        <v>0</v>
      </c>
      <c r="E25" s="126">
        <f>'10.Grain Production details'!E82</f>
        <v>0</v>
      </c>
      <c r="F25" s="126">
        <f>'10.Grain Production details'!F82</f>
        <v>0</v>
      </c>
      <c r="G25" s="126">
        <f>'10.Grain Production details'!G82</f>
        <v>0</v>
      </c>
      <c r="H25" s="126">
        <f>'10.Grain Production details'!H82</f>
        <v>0</v>
      </c>
    </row>
    <row r="26" spans="1:8" hidden="1" x14ac:dyDescent="0.25">
      <c r="A26" s="109" t="str">
        <f>'10.Grain Production details'!A83</f>
        <v>Safflower</v>
      </c>
      <c r="B26" s="126">
        <f>'10.Grain Production details'!B83</f>
        <v>0</v>
      </c>
      <c r="C26" s="126">
        <f>'10.Grain Production details'!C83</f>
        <v>0</v>
      </c>
      <c r="D26" s="126">
        <f>'10.Grain Production details'!D83</f>
        <v>0</v>
      </c>
      <c r="E26" s="126">
        <f>'10.Grain Production details'!E83</f>
        <v>0</v>
      </c>
      <c r="F26" s="126">
        <f>'10.Grain Production details'!F83</f>
        <v>0</v>
      </c>
      <c r="G26" s="126">
        <f>'10.Grain Production details'!G83</f>
        <v>0</v>
      </c>
      <c r="H26" s="126">
        <f>'10.Grain Production details'!H83</f>
        <v>0</v>
      </c>
    </row>
    <row r="27" spans="1:8" hidden="1" x14ac:dyDescent="0.25">
      <c r="A27" s="109">
        <f>'10.Grain Production details'!A84</f>
        <v>0</v>
      </c>
      <c r="B27" s="126">
        <f>'10.Grain Production details'!B84</f>
        <v>0</v>
      </c>
      <c r="C27" s="126">
        <f>'10.Grain Production details'!C84</f>
        <v>0</v>
      </c>
      <c r="D27" s="126">
        <f>'10.Grain Production details'!D84</f>
        <v>0</v>
      </c>
      <c r="E27" s="126">
        <f>'10.Grain Production details'!E84</f>
        <v>0</v>
      </c>
      <c r="F27" s="126">
        <f>'10.Grain Production details'!F84</f>
        <v>0</v>
      </c>
      <c r="G27" s="126">
        <f>'10.Grain Production details'!G84</f>
        <v>0</v>
      </c>
      <c r="H27" s="126">
        <f>'10.Grain Production details'!H84</f>
        <v>0</v>
      </c>
    </row>
    <row r="28" spans="1:8" hidden="1" x14ac:dyDescent="0.25">
      <c r="A28" s="109">
        <f>'10.Grain Production details'!A85</f>
        <v>0</v>
      </c>
      <c r="B28" s="126">
        <f>'10.Grain Production details'!B85</f>
        <v>0</v>
      </c>
      <c r="C28" s="126">
        <f>'10.Grain Production details'!C85</f>
        <v>0</v>
      </c>
      <c r="D28" s="126">
        <f>'10.Grain Production details'!D85</f>
        <v>0</v>
      </c>
      <c r="E28" s="126">
        <f>'10.Grain Production details'!E85</f>
        <v>0</v>
      </c>
      <c r="F28" s="126">
        <f>'10.Grain Production details'!F85</f>
        <v>0</v>
      </c>
      <c r="G28" s="126">
        <f>'10.Grain Production details'!G85</f>
        <v>0</v>
      </c>
      <c r="H28" s="126">
        <f>'10.Grain Production details'!H85</f>
        <v>0</v>
      </c>
    </row>
    <row r="29" spans="1:8" hidden="1" x14ac:dyDescent="0.25">
      <c r="A29" s="109">
        <f>'10.Grain Production details'!A86</f>
        <v>0</v>
      </c>
      <c r="B29" s="126">
        <f>'10.Grain Production details'!B86</f>
        <v>0</v>
      </c>
      <c r="C29" s="126">
        <f>'10.Grain Production details'!C86</f>
        <v>0</v>
      </c>
      <c r="D29" s="126">
        <f>'10.Grain Production details'!D86</f>
        <v>0</v>
      </c>
      <c r="E29" s="126">
        <f>'10.Grain Production details'!E86</f>
        <v>0</v>
      </c>
      <c r="F29" s="126">
        <f>'10.Grain Production details'!F86</f>
        <v>0</v>
      </c>
      <c r="G29" s="126">
        <f>'10.Grain Production details'!G86</f>
        <v>0</v>
      </c>
      <c r="H29" s="126">
        <f>'10.Grain Production details'!H86</f>
        <v>0</v>
      </c>
    </row>
    <row r="30" spans="1:8" hidden="1" x14ac:dyDescent="0.25">
      <c r="A30" s="109" t="str">
        <f>'10.Grain Production details'!A87</f>
        <v>Groundnut</v>
      </c>
      <c r="B30" s="126">
        <f>'10.Grain Production details'!B87</f>
        <v>0</v>
      </c>
      <c r="C30" s="126">
        <f>'10.Grain Production details'!C87</f>
        <v>0</v>
      </c>
      <c r="D30" s="126">
        <f>'10.Grain Production details'!D87</f>
        <v>0</v>
      </c>
      <c r="E30" s="126">
        <f>'10.Grain Production details'!E87</f>
        <v>0</v>
      </c>
      <c r="F30" s="126">
        <f>'10.Grain Production details'!F87</f>
        <v>0</v>
      </c>
      <c r="G30" s="126">
        <f>'10.Grain Production details'!G87</f>
        <v>0</v>
      </c>
      <c r="H30" s="126">
        <f>'10.Grain Production details'!H87</f>
        <v>0</v>
      </c>
    </row>
    <row r="31" spans="1:8" hidden="1" x14ac:dyDescent="0.25">
      <c r="A31" s="109">
        <f>'10.Grain Production details'!A88</f>
        <v>0</v>
      </c>
      <c r="B31" s="126">
        <f>'10.Grain Production details'!B88</f>
        <v>0</v>
      </c>
      <c r="C31" s="126">
        <f>'10.Grain Production details'!C88</f>
        <v>0</v>
      </c>
      <c r="D31" s="126">
        <f>'10.Grain Production details'!D88</f>
        <v>0</v>
      </c>
      <c r="E31" s="126">
        <f>'10.Grain Production details'!E88</f>
        <v>0</v>
      </c>
      <c r="F31" s="126">
        <f>'10.Grain Production details'!F88</f>
        <v>0</v>
      </c>
      <c r="G31" s="126">
        <f>'10.Grain Production details'!G88</f>
        <v>0</v>
      </c>
      <c r="H31" s="126">
        <f>'10.Grain Production details'!H88</f>
        <v>0</v>
      </c>
    </row>
    <row r="32" spans="1:8" x14ac:dyDescent="0.25">
      <c r="A32" s="109" t="s">
        <v>451</v>
      </c>
      <c r="B32" s="126">
        <f>SUM(B13:B31)</f>
        <v>11355.786749999999</v>
      </c>
      <c r="C32" s="126">
        <f t="shared" ref="C32:H32" si="1">SUM(C13:C31)</f>
        <v>12718.481160000001</v>
      </c>
      <c r="D32" s="126">
        <f t="shared" si="1"/>
        <v>14081.175570000003</v>
      </c>
      <c r="E32" s="126">
        <f t="shared" si="1"/>
        <v>15443.869980000003</v>
      </c>
      <c r="F32" s="126">
        <f t="shared" si="1"/>
        <v>16806.564390000003</v>
      </c>
      <c r="G32" s="126">
        <f t="shared" si="1"/>
        <v>18169.258800000007</v>
      </c>
      <c r="H32" s="126">
        <f t="shared" si="1"/>
        <v>19531.953210000007</v>
      </c>
    </row>
    <row r="33" spans="1:10" x14ac:dyDescent="0.25">
      <c r="A33" s="127" t="s">
        <v>696</v>
      </c>
      <c r="B33" s="128">
        <v>1</v>
      </c>
      <c r="C33" s="128">
        <v>1</v>
      </c>
      <c r="D33" s="128">
        <v>1</v>
      </c>
      <c r="E33" s="128">
        <v>1</v>
      </c>
      <c r="F33" s="128">
        <v>1</v>
      </c>
      <c r="G33" s="128">
        <v>1</v>
      </c>
      <c r="H33" s="128">
        <v>1</v>
      </c>
    </row>
    <row r="34" spans="1:10" x14ac:dyDescent="0.25">
      <c r="A34" s="113" t="s">
        <v>763</v>
      </c>
      <c r="B34" s="154">
        <f>1-B33</f>
        <v>0</v>
      </c>
      <c r="C34" s="154">
        <f t="shared" ref="C34:H34" si="2">1-C33</f>
        <v>0</v>
      </c>
      <c r="D34" s="154">
        <f t="shared" si="2"/>
        <v>0</v>
      </c>
      <c r="E34" s="154">
        <f t="shared" si="2"/>
        <v>0</v>
      </c>
      <c r="F34" s="154">
        <f t="shared" si="2"/>
        <v>0</v>
      </c>
      <c r="G34" s="154">
        <f t="shared" si="2"/>
        <v>0</v>
      </c>
      <c r="H34" s="154">
        <f t="shared" si="2"/>
        <v>0</v>
      </c>
    </row>
    <row r="35" spans="1:10" x14ac:dyDescent="0.25">
      <c r="A35" s="113" t="s">
        <v>695</v>
      </c>
      <c r="B35" s="155"/>
      <c r="C35" s="155"/>
      <c r="D35" s="155"/>
      <c r="E35" s="155"/>
      <c r="F35" s="155"/>
      <c r="G35" s="155"/>
      <c r="H35" s="155"/>
    </row>
    <row r="36" spans="1:10" x14ac:dyDescent="0.25">
      <c r="A36" s="109">
        <f t="shared" ref="A36:A54" si="3">A13</f>
        <v>0</v>
      </c>
      <c r="B36" s="156">
        <f t="shared" ref="B36:B54" si="4">B13*$B$33</f>
        <v>0</v>
      </c>
      <c r="C36" s="156">
        <f t="shared" ref="C36:C54" si="5">C13*$C$33</f>
        <v>0</v>
      </c>
      <c r="D36" s="156">
        <f t="shared" ref="D36:D54" si="6">D13*$D$33</f>
        <v>0</v>
      </c>
      <c r="E36" s="156">
        <f t="shared" ref="E36:E54" si="7">E13*$E$33</f>
        <v>0</v>
      </c>
      <c r="F36" s="156">
        <f t="shared" ref="F36:F54" si="8">F13*$F$33</f>
        <v>0</v>
      </c>
      <c r="G36" s="156">
        <f t="shared" ref="G36:G54" si="9">G13*$G$33</f>
        <v>0</v>
      </c>
      <c r="H36" s="156">
        <f t="shared" ref="H36:H54" si="10">H13*$H$33</f>
        <v>0</v>
      </c>
    </row>
    <row r="37" spans="1:10" x14ac:dyDescent="0.25">
      <c r="A37" s="109" t="str">
        <f t="shared" si="3"/>
        <v>Red Gram/Tur</v>
      </c>
      <c r="B37" s="156">
        <f t="shared" si="4"/>
        <v>5130.3367499999995</v>
      </c>
      <c r="C37" s="156">
        <f t="shared" si="5"/>
        <v>5745.9771600000004</v>
      </c>
      <c r="D37" s="156">
        <f t="shared" si="6"/>
        <v>6361.6175700000003</v>
      </c>
      <c r="E37" s="156">
        <f t="shared" si="7"/>
        <v>6977.2579800000012</v>
      </c>
      <c r="F37" s="156">
        <f t="shared" si="8"/>
        <v>7592.8983900000012</v>
      </c>
      <c r="G37" s="156">
        <f t="shared" si="9"/>
        <v>8208.5388000000021</v>
      </c>
      <c r="H37" s="156">
        <f t="shared" si="10"/>
        <v>8824.1792100000021</v>
      </c>
    </row>
    <row r="38" spans="1:10" hidden="1" x14ac:dyDescent="0.25">
      <c r="A38" s="109" t="str">
        <f t="shared" si="3"/>
        <v>Paddy/Rice</v>
      </c>
      <c r="B38" s="156">
        <f t="shared" si="4"/>
        <v>0</v>
      </c>
      <c r="C38" s="156">
        <f t="shared" si="5"/>
        <v>0</v>
      </c>
      <c r="D38" s="156">
        <f t="shared" si="6"/>
        <v>0</v>
      </c>
      <c r="E38" s="156">
        <f t="shared" si="7"/>
        <v>0</v>
      </c>
      <c r="F38" s="156">
        <f t="shared" si="8"/>
        <v>0</v>
      </c>
      <c r="G38" s="156">
        <f t="shared" si="9"/>
        <v>0</v>
      </c>
      <c r="H38" s="156">
        <f t="shared" si="10"/>
        <v>0</v>
      </c>
    </row>
    <row r="39" spans="1:10" x14ac:dyDescent="0.25">
      <c r="A39" s="109" t="str">
        <f t="shared" si="3"/>
        <v>Green Gram/ Moong</v>
      </c>
      <c r="B39" s="156">
        <f t="shared" si="4"/>
        <v>1386.5775000000001</v>
      </c>
      <c r="C39" s="156">
        <f t="shared" si="5"/>
        <v>1552.9668000000001</v>
      </c>
      <c r="D39" s="156">
        <f t="shared" si="6"/>
        <v>1719.3561000000004</v>
      </c>
      <c r="E39" s="156">
        <f t="shared" si="7"/>
        <v>1885.7454000000005</v>
      </c>
      <c r="F39" s="156">
        <f t="shared" si="8"/>
        <v>2052.1347000000005</v>
      </c>
      <c r="G39" s="156">
        <f t="shared" si="9"/>
        <v>2218.5240000000003</v>
      </c>
      <c r="H39" s="156">
        <f t="shared" si="10"/>
        <v>2384.9133000000002</v>
      </c>
    </row>
    <row r="40" spans="1:10" hidden="1" x14ac:dyDescent="0.25">
      <c r="A40" s="109" t="str">
        <f t="shared" si="3"/>
        <v>Maize</v>
      </c>
      <c r="B40" s="156">
        <f t="shared" si="4"/>
        <v>0</v>
      </c>
      <c r="C40" s="156">
        <f t="shared" si="5"/>
        <v>0</v>
      </c>
      <c r="D40" s="156">
        <f t="shared" si="6"/>
        <v>0</v>
      </c>
      <c r="E40" s="156">
        <f t="shared" si="7"/>
        <v>0</v>
      </c>
      <c r="F40" s="156">
        <f t="shared" si="8"/>
        <v>0</v>
      </c>
      <c r="G40" s="156">
        <f t="shared" si="9"/>
        <v>0</v>
      </c>
      <c r="H40" s="156">
        <f t="shared" si="10"/>
        <v>0</v>
      </c>
    </row>
    <row r="41" spans="1:10" x14ac:dyDescent="0.25">
      <c r="A41" s="109" t="str">
        <f t="shared" si="3"/>
        <v>Black Gram/Udid</v>
      </c>
      <c r="B41" s="156">
        <f t="shared" si="4"/>
        <v>0</v>
      </c>
      <c r="C41" s="156">
        <f t="shared" si="5"/>
        <v>0</v>
      </c>
      <c r="D41" s="156">
        <f t="shared" si="6"/>
        <v>0</v>
      </c>
      <c r="E41" s="156">
        <f t="shared" si="7"/>
        <v>0</v>
      </c>
      <c r="F41" s="156">
        <f t="shared" si="8"/>
        <v>0</v>
      </c>
      <c r="G41" s="156">
        <f t="shared" si="9"/>
        <v>0</v>
      </c>
      <c r="H41" s="156">
        <f t="shared" si="10"/>
        <v>0</v>
      </c>
    </row>
    <row r="42" spans="1:10" hidden="1" x14ac:dyDescent="0.25">
      <c r="A42" s="109" t="str">
        <f t="shared" si="3"/>
        <v>Bajra</v>
      </c>
      <c r="B42" s="156">
        <f t="shared" si="4"/>
        <v>0</v>
      </c>
      <c r="C42" s="156">
        <f t="shared" si="5"/>
        <v>0</v>
      </c>
      <c r="D42" s="156">
        <f t="shared" si="6"/>
        <v>0</v>
      </c>
      <c r="E42" s="156">
        <f t="shared" si="7"/>
        <v>0</v>
      </c>
      <c r="F42" s="156">
        <f t="shared" si="8"/>
        <v>0</v>
      </c>
      <c r="G42" s="156">
        <f t="shared" si="9"/>
        <v>0</v>
      </c>
      <c r="H42" s="156">
        <f t="shared" si="10"/>
        <v>0</v>
      </c>
    </row>
    <row r="43" spans="1:10" hidden="1" x14ac:dyDescent="0.25">
      <c r="A43" s="109" t="str">
        <f t="shared" si="3"/>
        <v>Jawar</v>
      </c>
      <c r="B43" s="156">
        <f t="shared" si="4"/>
        <v>0</v>
      </c>
      <c r="C43" s="156">
        <f t="shared" si="5"/>
        <v>0</v>
      </c>
      <c r="D43" s="156">
        <f t="shared" si="6"/>
        <v>0</v>
      </c>
      <c r="E43" s="156">
        <f t="shared" si="7"/>
        <v>0</v>
      </c>
      <c r="F43" s="156">
        <f t="shared" si="8"/>
        <v>0</v>
      </c>
      <c r="G43" s="156">
        <f t="shared" si="9"/>
        <v>0</v>
      </c>
      <c r="H43" s="156">
        <f t="shared" si="10"/>
        <v>0</v>
      </c>
    </row>
    <row r="44" spans="1:10" hidden="1" x14ac:dyDescent="0.25">
      <c r="A44" s="109" t="str">
        <f t="shared" si="3"/>
        <v>Sunflower</v>
      </c>
      <c r="B44" s="156">
        <f t="shared" si="4"/>
        <v>0</v>
      </c>
      <c r="C44" s="156">
        <f t="shared" si="5"/>
        <v>0</v>
      </c>
      <c r="D44" s="156">
        <f t="shared" si="6"/>
        <v>0</v>
      </c>
      <c r="E44" s="156">
        <f t="shared" si="7"/>
        <v>0</v>
      </c>
      <c r="F44" s="156">
        <f t="shared" si="8"/>
        <v>0</v>
      </c>
      <c r="G44" s="156">
        <f t="shared" si="9"/>
        <v>0</v>
      </c>
      <c r="H44" s="156">
        <f t="shared" si="10"/>
        <v>0</v>
      </c>
    </row>
    <row r="45" spans="1:10" hidden="1" x14ac:dyDescent="0.25">
      <c r="A45" s="109" t="str">
        <f t="shared" si="3"/>
        <v>Wheat</v>
      </c>
      <c r="B45" s="156">
        <f t="shared" si="4"/>
        <v>0</v>
      </c>
      <c r="C45" s="156">
        <f t="shared" si="5"/>
        <v>0</v>
      </c>
      <c r="D45" s="156">
        <f t="shared" si="6"/>
        <v>0</v>
      </c>
      <c r="E45" s="156">
        <f t="shared" si="7"/>
        <v>0</v>
      </c>
      <c r="F45" s="156">
        <f t="shared" si="8"/>
        <v>0</v>
      </c>
      <c r="G45" s="156">
        <f t="shared" si="9"/>
        <v>0</v>
      </c>
      <c r="H45" s="156">
        <f t="shared" si="10"/>
        <v>0</v>
      </c>
    </row>
    <row r="46" spans="1:10" x14ac:dyDescent="0.25">
      <c r="A46" s="109" t="str">
        <f t="shared" si="3"/>
        <v>Bengal Gram/Channa</v>
      </c>
      <c r="B46" s="156">
        <f t="shared" si="4"/>
        <v>4838.8725000000004</v>
      </c>
      <c r="C46" s="156">
        <f t="shared" si="5"/>
        <v>5419.5372000000007</v>
      </c>
      <c r="D46" s="156">
        <f t="shared" si="6"/>
        <v>6000.2019000000018</v>
      </c>
      <c r="E46" s="156">
        <f t="shared" si="7"/>
        <v>6580.8666000000021</v>
      </c>
      <c r="F46" s="156">
        <f t="shared" si="8"/>
        <v>7161.5313000000024</v>
      </c>
      <c r="G46" s="156">
        <f t="shared" si="9"/>
        <v>7742.1960000000036</v>
      </c>
      <c r="H46" s="156">
        <f t="shared" si="10"/>
        <v>8322.8607000000029</v>
      </c>
      <c r="J46" s="157"/>
    </row>
    <row r="47" spans="1:10" hidden="1" x14ac:dyDescent="0.25">
      <c r="A47" s="109" t="str">
        <f t="shared" si="3"/>
        <v>Jawar</v>
      </c>
      <c r="B47" s="156">
        <f t="shared" si="4"/>
        <v>0</v>
      </c>
      <c r="C47" s="156">
        <f t="shared" si="5"/>
        <v>0</v>
      </c>
      <c r="D47" s="156">
        <f t="shared" si="6"/>
        <v>0</v>
      </c>
      <c r="E47" s="156">
        <f t="shared" si="7"/>
        <v>0</v>
      </c>
      <c r="F47" s="156">
        <f t="shared" si="8"/>
        <v>0</v>
      </c>
      <c r="G47" s="156">
        <f t="shared" si="9"/>
        <v>0</v>
      </c>
      <c r="H47" s="156">
        <f t="shared" si="10"/>
        <v>0</v>
      </c>
    </row>
    <row r="48" spans="1:10" hidden="1" x14ac:dyDescent="0.25">
      <c r="A48" s="109" t="str">
        <f t="shared" si="3"/>
        <v>Maize</v>
      </c>
      <c r="B48" s="156">
        <f t="shared" si="4"/>
        <v>0</v>
      </c>
      <c r="C48" s="156">
        <f t="shared" si="5"/>
        <v>0</v>
      </c>
      <c r="D48" s="156">
        <f t="shared" si="6"/>
        <v>0</v>
      </c>
      <c r="E48" s="156">
        <f t="shared" si="7"/>
        <v>0</v>
      </c>
      <c r="F48" s="156">
        <f t="shared" si="8"/>
        <v>0</v>
      </c>
      <c r="G48" s="156">
        <f t="shared" si="9"/>
        <v>0</v>
      </c>
      <c r="H48" s="156">
        <f t="shared" si="10"/>
        <v>0</v>
      </c>
    </row>
    <row r="49" spans="1:8" hidden="1" x14ac:dyDescent="0.25">
      <c r="A49" s="109" t="str">
        <f t="shared" si="3"/>
        <v>Safflower</v>
      </c>
      <c r="B49" s="156">
        <f t="shared" si="4"/>
        <v>0</v>
      </c>
      <c r="C49" s="156">
        <f t="shared" si="5"/>
        <v>0</v>
      </c>
      <c r="D49" s="156">
        <f t="shared" si="6"/>
        <v>0</v>
      </c>
      <c r="E49" s="156">
        <f t="shared" si="7"/>
        <v>0</v>
      </c>
      <c r="F49" s="156">
        <f t="shared" si="8"/>
        <v>0</v>
      </c>
      <c r="G49" s="156">
        <f t="shared" si="9"/>
        <v>0</v>
      </c>
      <c r="H49" s="156">
        <f t="shared" si="10"/>
        <v>0</v>
      </c>
    </row>
    <row r="50" spans="1:8" hidden="1" x14ac:dyDescent="0.25">
      <c r="A50" s="109">
        <f t="shared" si="3"/>
        <v>0</v>
      </c>
      <c r="B50" s="156">
        <f t="shared" si="4"/>
        <v>0</v>
      </c>
      <c r="C50" s="156">
        <f t="shared" si="5"/>
        <v>0</v>
      </c>
      <c r="D50" s="156">
        <f t="shared" si="6"/>
        <v>0</v>
      </c>
      <c r="E50" s="156">
        <f t="shared" si="7"/>
        <v>0</v>
      </c>
      <c r="F50" s="156">
        <f t="shared" si="8"/>
        <v>0</v>
      </c>
      <c r="G50" s="156">
        <f t="shared" si="9"/>
        <v>0</v>
      </c>
      <c r="H50" s="156">
        <f t="shared" si="10"/>
        <v>0</v>
      </c>
    </row>
    <row r="51" spans="1:8" hidden="1" x14ac:dyDescent="0.25">
      <c r="A51" s="109">
        <f t="shared" si="3"/>
        <v>0</v>
      </c>
      <c r="B51" s="156">
        <f t="shared" si="4"/>
        <v>0</v>
      </c>
      <c r="C51" s="156">
        <f t="shared" si="5"/>
        <v>0</v>
      </c>
      <c r="D51" s="156">
        <f t="shared" si="6"/>
        <v>0</v>
      </c>
      <c r="E51" s="156">
        <f t="shared" si="7"/>
        <v>0</v>
      </c>
      <c r="F51" s="156">
        <f t="shared" si="8"/>
        <v>0</v>
      </c>
      <c r="G51" s="156">
        <f t="shared" si="9"/>
        <v>0</v>
      </c>
      <c r="H51" s="156">
        <f t="shared" si="10"/>
        <v>0</v>
      </c>
    </row>
    <row r="52" spans="1:8" hidden="1" x14ac:dyDescent="0.25">
      <c r="A52" s="109">
        <f t="shared" si="3"/>
        <v>0</v>
      </c>
      <c r="B52" s="156">
        <f t="shared" si="4"/>
        <v>0</v>
      </c>
      <c r="C52" s="156">
        <f t="shared" si="5"/>
        <v>0</v>
      </c>
      <c r="D52" s="156">
        <f t="shared" si="6"/>
        <v>0</v>
      </c>
      <c r="E52" s="156">
        <f t="shared" si="7"/>
        <v>0</v>
      </c>
      <c r="F52" s="156">
        <f t="shared" si="8"/>
        <v>0</v>
      </c>
      <c r="G52" s="156">
        <f t="shared" si="9"/>
        <v>0</v>
      </c>
      <c r="H52" s="156">
        <f t="shared" si="10"/>
        <v>0</v>
      </c>
    </row>
    <row r="53" spans="1:8" hidden="1" x14ac:dyDescent="0.25">
      <c r="A53" s="109" t="str">
        <f t="shared" si="3"/>
        <v>Groundnut</v>
      </c>
      <c r="B53" s="156">
        <f t="shared" si="4"/>
        <v>0</v>
      </c>
      <c r="C53" s="156">
        <f t="shared" si="5"/>
        <v>0</v>
      </c>
      <c r="D53" s="156">
        <f t="shared" si="6"/>
        <v>0</v>
      </c>
      <c r="E53" s="156">
        <f t="shared" si="7"/>
        <v>0</v>
      </c>
      <c r="F53" s="156">
        <f t="shared" si="8"/>
        <v>0</v>
      </c>
      <c r="G53" s="156">
        <f t="shared" si="9"/>
        <v>0</v>
      </c>
      <c r="H53" s="156">
        <f t="shared" si="10"/>
        <v>0</v>
      </c>
    </row>
    <row r="54" spans="1:8" hidden="1" x14ac:dyDescent="0.25">
      <c r="A54" s="109">
        <f t="shared" si="3"/>
        <v>0</v>
      </c>
      <c r="B54" s="156">
        <f t="shared" si="4"/>
        <v>0</v>
      </c>
      <c r="C54" s="156">
        <f t="shared" si="5"/>
        <v>0</v>
      </c>
      <c r="D54" s="156">
        <f t="shared" si="6"/>
        <v>0</v>
      </c>
      <c r="E54" s="156">
        <f t="shared" si="7"/>
        <v>0</v>
      </c>
      <c r="F54" s="156">
        <f t="shared" si="8"/>
        <v>0</v>
      </c>
      <c r="G54" s="156">
        <f t="shared" si="9"/>
        <v>0</v>
      </c>
      <c r="H54" s="156">
        <f t="shared" si="10"/>
        <v>0</v>
      </c>
    </row>
    <row r="55" spans="1:8" x14ac:dyDescent="0.25">
      <c r="A55" s="109"/>
      <c r="B55" s="109"/>
      <c r="C55" s="109"/>
      <c r="D55" s="109"/>
      <c r="E55" s="109"/>
      <c r="F55" s="109"/>
      <c r="G55" s="109"/>
      <c r="H55" s="109"/>
    </row>
    <row r="56" spans="1:8" x14ac:dyDescent="0.25">
      <c r="A56" s="113" t="s">
        <v>278</v>
      </c>
      <c r="B56" s="109"/>
      <c r="C56" s="109"/>
      <c r="D56" s="109"/>
      <c r="E56" s="109"/>
      <c r="F56" s="109"/>
      <c r="G56" s="109"/>
      <c r="H56" s="109"/>
    </row>
    <row r="57" spans="1:8" x14ac:dyDescent="0.25">
      <c r="A57" s="109">
        <f>A36</f>
        <v>0</v>
      </c>
      <c r="B57" s="421">
        <f>B36*97%</f>
        <v>0</v>
      </c>
      <c r="C57" s="421">
        <f t="shared" ref="C57:H57" si="11">C36*97%</f>
        <v>0</v>
      </c>
      <c r="D57" s="421">
        <f t="shared" si="11"/>
        <v>0</v>
      </c>
      <c r="E57" s="421">
        <f t="shared" si="11"/>
        <v>0</v>
      </c>
      <c r="F57" s="421">
        <f t="shared" si="11"/>
        <v>0</v>
      </c>
      <c r="G57" s="421">
        <f t="shared" si="11"/>
        <v>0</v>
      </c>
      <c r="H57" s="421">
        <f t="shared" si="11"/>
        <v>0</v>
      </c>
    </row>
    <row r="58" spans="1:8" hidden="1" x14ac:dyDescent="0.25">
      <c r="A58" s="109"/>
      <c r="B58" s="109"/>
      <c r="C58" s="109"/>
      <c r="D58" s="109"/>
      <c r="E58" s="109"/>
      <c r="F58" s="109"/>
      <c r="G58" s="109"/>
      <c r="H58" s="109"/>
    </row>
    <row r="59" spans="1:8" hidden="1" x14ac:dyDescent="0.25">
      <c r="A59" s="109"/>
      <c r="B59" s="109"/>
      <c r="C59" s="109"/>
      <c r="D59" s="109"/>
      <c r="E59" s="109"/>
      <c r="F59" s="109"/>
      <c r="G59" s="109"/>
      <c r="H59" s="109"/>
    </row>
    <row r="60" spans="1:8" x14ac:dyDescent="0.25">
      <c r="A60" s="109"/>
      <c r="B60" s="109"/>
      <c r="C60" s="109"/>
      <c r="D60" s="109"/>
      <c r="E60" s="109"/>
      <c r="F60" s="109"/>
      <c r="G60" s="109"/>
      <c r="H60" s="109"/>
    </row>
    <row r="61" spans="1:8" x14ac:dyDescent="0.25">
      <c r="A61" s="109" t="str">
        <f>A37</f>
        <v>Red Gram/Tur</v>
      </c>
      <c r="B61" s="158"/>
      <c r="C61" s="158"/>
      <c r="D61" s="158"/>
      <c r="E61" s="158"/>
      <c r="F61" s="158"/>
      <c r="G61" s="158"/>
      <c r="H61" s="158"/>
    </row>
    <row r="62" spans="1:8" x14ac:dyDescent="0.25">
      <c r="A62" s="109" t="s">
        <v>452</v>
      </c>
      <c r="B62" s="421">
        <f>B37*80%</f>
        <v>4104.2694000000001</v>
      </c>
      <c r="C62" s="421">
        <f t="shared" ref="C62:H62" si="12">C37*80%</f>
        <v>4596.7817280000008</v>
      </c>
      <c r="D62" s="421">
        <f t="shared" si="12"/>
        <v>5089.2940560000006</v>
      </c>
      <c r="E62" s="421">
        <f t="shared" si="12"/>
        <v>5581.8063840000013</v>
      </c>
      <c r="F62" s="421">
        <f t="shared" si="12"/>
        <v>6074.3187120000011</v>
      </c>
      <c r="G62" s="421">
        <f t="shared" si="12"/>
        <v>6566.8310400000018</v>
      </c>
      <c r="H62" s="421">
        <f t="shared" si="12"/>
        <v>7059.3433680000016</v>
      </c>
    </row>
    <row r="63" spans="1:8" x14ac:dyDescent="0.25">
      <c r="A63" s="109" t="s">
        <v>140</v>
      </c>
      <c r="B63" s="421">
        <f>B37*20%</f>
        <v>1026.06735</v>
      </c>
      <c r="C63" s="421">
        <f t="shared" ref="C63:H63" si="13">C37*20%</f>
        <v>1149.1954320000002</v>
      </c>
      <c r="D63" s="421">
        <f t="shared" si="13"/>
        <v>1272.3235140000002</v>
      </c>
      <c r="E63" s="421">
        <f t="shared" si="13"/>
        <v>1395.4515960000003</v>
      </c>
      <c r="F63" s="421">
        <f t="shared" si="13"/>
        <v>1518.5796780000003</v>
      </c>
      <c r="G63" s="421">
        <f t="shared" si="13"/>
        <v>1641.7077600000005</v>
      </c>
      <c r="H63" s="421">
        <f t="shared" si="13"/>
        <v>1764.8358420000004</v>
      </c>
    </row>
    <row r="64" spans="1:8" x14ac:dyDescent="0.25">
      <c r="A64" s="109" t="str">
        <f>A38</f>
        <v>Paddy/Rice</v>
      </c>
      <c r="B64" s="156"/>
      <c r="C64" s="156"/>
      <c r="D64" s="156"/>
      <c r="E64" s="156"/>
      <c r="F64" s="156"/>
      <c r="G64" s="156"/>
      <c r="H64" s="156"/>
    </row>
    <row r="65" spans="1:10" x14ac:dyDescent="0.25">
      <c r="A65" s="109"/>
      <c r="B65" s="156"/>
      <c r="C65" s="156"/>
      <c r="D65" s="156"/>
      <c r="E65" s="156"/>
      <c r="F65" s="156"/>
      <c r="G65" s="156"/>
      <c r="H65" s="156"/>
    </row>
    <row r="66" spans="1:10" hidden="1" x14ac:dyDescent="0.25">
      <c r="A66" s="109"/>
      <c r="B66" s="156"/>
      <c r="C66" s="156"/>
      <c r="D66" s="156"/>
      <c r="E66" s="156"/>
      <c r="F66" s="156"/>
      <c r="G66" s="156"/>
      <c r="H66" s="156"/>
    </row>
    <row r="67" spans="1:10" hidden="1" x14ac:dyDescent="0.25">
      <c r="A67" s="109"/>
      <c r="B67" s="156"/>
      <c r="C67" s="156"/>
      <c r="D67" s="156"/>
      <c r="E67" s="156"/>
      <c r="F67" s="156"/>
      <c r="G67" s="156"/>
      <c r="H67" s="156"/>
    </row>
    <row r="68" spans="1:10" x14ac:dyDescent="0.25">
      <c r="A68" s="109" t="str">
        <f>A39</f>
        <v>Green Gram/ Moong</v>
      </c>
      <c r="B68" s="156"/>
      <c r="C68" s="156"/>
      <c r="D68" s="156"/>
      <c r="E68" s="156"/>
      <c r="F68" s="156"/>
      <c r="G68" s="156"/>
      <c r="H68" s="156"/>
    </row>
    <row r="69" spans="1:10" x14ac:dyDescent="0.25">
      <c r="A69" s="109" t="s">
        <v>452</v>
      </c>
      <c r="B69" s="156">
        <f>B39*80%</f>
        <v>1109.2620000000002</v>
      </c>
      <c r="C69" s="156">
        <f t="shared" ref="C69:H69" si="14">C39*80%</f>
        <v>1242.3734400000003</v>
      </c>
      <c r="D69" s="156">
        <f t="shared" si="14"/>
        <v>1375.4848800000004</v>
      </c>
      <c r="E69" s="156">
        <f t="shared" si="14"/>
        <v>1508.5963200000006</v>
      </c>
      <c r="F69" s="156">
        <f t="shared" si="14"/>
        <v>1641.7077600000005</v>
      </c>
      <c r="G69" s="156">
        <f t="shared" si="14"/>
        <v>1774.8192000000004</v>
      </c>
      <c r="H69" s="156">
        <f t="shared" si="14"/>
        <v>1907.9306400000003</v>
      </c>
      <c r="J69" s="157"/>
    </row>
    <row r="70" spans="1:10" x14ac:dyDescent="0.25">
      <c r="A70" s="109" t="s">
        <v>140</v>
      </c>
      <c r="B70" s="156">
        <f>B39*20%</f>
        <v>277.31550000000004</v>
      </c>
      <c r="C70" s="156">
        <f t="shared" ref="C70:H70" si="15">C39*20%</f>
        <v>310.59336000000008</v>
      </c>
      <c r="D70" s="156">
        <f t="shared" si="15"/>
        <v>343.87122000000011</v>
      </c>
      <c r="E70" s="156">
        <f t="shared" si="15"/>
        <v>377.14908000000014</v>
      </c>
      <c r="F70" s="156">
        <f t="shared" si="15"/>
        <v>410.42694000000012</v>
      </c>
      <c r="G70" s="156">
        <f t="shared" si="15"/>
        <v>443.70480000000009</v>
      </c>
      <c r="H70" s="156">
        <f t="shared" si="15"/>
        <v>476.98266000000007</v>
      </c>
    </row>
    <row r="71" spans="1:10" hidden="1" x14ac:dyDescent="0.25">
      <c r="A71" s="109" t="str">
        <f>A40</f>
        <v>Maize</v>
      </c>
      <c r="B71" s="156"/>
      <c r="C71" s="156"/>
      <c r="D71" s="156"/>
      <c r="E71" s="156"/>
      <c r="F71" s="156"/>
      <c r="G71" s="156"/>
      <c r="H71" s="156"/>
    </row>
    <row r="72" spans="1:10" hidden="1" x14ac:dyDescent="0.25">
      <c r="A72" s="109"/>
      <c r="B72" s="156"/>
      <c r="C72" s="156"/>
      <c r="D72" s="156"/>
      <c r="E72" s="156"/>
      <c r="F72" s="156"/>
      <c r="G72" s="156"/>
      <c r="H72" s="156"/>
    </row>
    <row r="73" spans="1:10" hidden="1" x14ac:dyDescent="0.25">
      <c r="A73" s="109"/>
      <c r="B73" s="156"/>
      <c r="C73" s="156"/>
      <c r="D73" s="156"/>
      <c r="E73" s="156"/>
      <c r="F73" s="156"/>
      <c r="G73" s="156"/>
      <c r="H73" s="156"/>
    </row>
    <row r="74" spans="1:10" hidden="1" x14ac:dyDescent="0.25">
      <c r="A74" s="109"/>
      <c r="B74" s="156"/>
      <c r="C74" s="156"/>
      <c r="D74" s="156"/>
      <c r="E74" s="156"/>
      <c r="F74" s="156"/>
      <c r="G74" s="156"/>
      <c r="H74" s="156"/>
    </row>
    <row r="75" spans="1:10" x14ac:dyDescent="0.25">
      <c r="A75" s="109"/>
      <c r="B75" s="156"/>
      <c r="C75" s="156"/>
      <c r="D75" s="156"/>
      <c r="E75" s="156"/>
      <c r="F75" s="156"/>
      <c r="G75" s="156"/>
      <c r="H75" s="156"/>
    </row>
    <row r="76" spans="1:10" x14ac:dyDescent="0.25">
      <c r="A76" s="109" t="str">
        <f>A41</f>
        <v>Black Gram/Udid</v>
      </c>
      <c r="B76" s="156"/>
      <c r="C76" s="156"/>
      <c r="D76" s="156"/>
      <c r="E76" s="156"/>
      <c r="F76" s="156"/>
      <c r="G76" s="156"/>
      <c r="H76" s="156"/>
    </row>
    <row r="77" spans="1:10" x14ac:dyDescent="0.25">
      <c r="A77" s="109" t="s">
        <v>452</v>
      </c>
      <c r="B77" s="156">
        <f t="shared" ref="B77:H77" si="16">B41*80%</f>
        <v>0</v>
      </c>
      <c r="C77" s="156">
        <f t="shared" si="16"/>
        <v>0</v>
      </c>
      <c r="D77" s="156">
        <f t="shared" si="16"/>
        <v>0</v>
      </c>
      <c r="E77" s="156">
        <f t="shared" si="16"/>
        <v>0</v>
      </c>
      <c r="F77" s="156">
        <f t="shared" si="16"/>
        <v>0</v>
      </c>
      <c r="G77" s="156">
        <f t="shared" si="16"/>
        <v>0</v>
      </c>
      <c r="H77" s="156">
        <f t="shared" si="16"/>
        <v>0</v>
      </c>
    </row>
    <row r="78" spans="1:10" x14ac:dyDescent="0.25">
      <c r="A78" s="109" t="s">
        <v>140</v>
      </c>
      <c r="B78" s="156">
        <f t="shared" ref="B78:H78" si="17">B41*20%</f>
        <v>0</v>
      </c>
      <c r="C78" s="156">
        <f t="shared" si="17"/>
        <v>0</v>
      </c>
      <c r="D78" s="156">
        <f t="shared" si="17"/>
        <v>0</v>
      </c>
      <c r="E78" s="156">
        <f t="shared" si="17"/>
        <v>0</v>
      </c>
      <c r="F78" s="156">
        <f t="shared" si="17"/>
        <v>0</v>
      </c>
      <c r="G78" s="156">
        <f t="shared" si="17"/>
        <v>0</v>
      </c>
      <c r="H78" s="156">
        <f t="shared" si="17"/>
        <v>0</v>
      </c>
    </row>
    <row r="79" spans="1:10" hidden="1" x14ac:dyDescent="0.25">
      <c r="A79" s="109" t="str">
        <f>A42</f>
        <v>Bajra</v>
      </c>
      <c r="B79" s="156"/>
      <c r="C79" s="156"/>
      <c r="D79" s="156"/>
      <c r="E79" s="156"/>
      <c r="F79" s="156"/>
      <c r="G79" s="156"/>
      <c r="H79" s="156"/>
    </row>
    <row r="80" spans="1:10" hidden="1" x14ac:dyDescent="0.25">
      <c r="A80" s="109"/>
      <c r="B80" s="156"/>
      <c r="C80" s="156"/>
      <c r="D80" s="156"/>
      <c r="E80" s="156"/>
      <c r="F80" s="156"/>
      <c r="G80" s="156"/>
      <c r="H80" s="156"/>
    </row>
    <row r="81" spans="1:10" hidden="1" x14ac:dyDescent="0.25">
      <c r="A81" s="109"/>
      <c r="B81" s="156"/>
      <c r="C81" s="156"/>
      <c r="D81" s="156"/>
      <c r="E81" s="156"/>
      <c r="F81" s="156"/>
      <c r="G81" s="156"/>
      <c r="H81" s="156"/>
    </row>
    <row r="82" spans="1:10" hidden="1" x14ac:dyDescent="0.25">
      <c r="A82" s="109" t="str">
        <f>A43</f>
        <v>Jawar</v>
      </c>
      <c r="B82" s="156"/>
      <c r="C82" s="156"/>
      <c r="D82" s="156"/>
      <c r="E82" s="156"/>
      <c r="F82" s="156"/>
      <c r="G82" s="156"/>
      <c r="H82" s="156"/>
    </row>
    <row r="83" spans="1:10" hidden="1" x14ac:dyDescent="0.25">
      <c r="A83" s="109"/>
      <c r="B83" s="156"/>
      <c r="C83" s="156"/>
      <c r="D83" s="156"/>
      <c r="E83" s="156"/>
      <c r="F83" s="156"/>
      <c r="G83" s="156"/>
      <c r="H83" s="156"/>
    </row>
    <row r="84" spans="1:10" hidden="1" x14ac:dyDescent="0.25">
      <c r="A84" s="109"/>
      <c r="B84" s="156"/>
      <c r="C84" s="156"/>
      <c r="D84" s="156"/>
      <c r="E84" s="156"/>
      <c r="F84" s="156"/>
      <c r="G84" s="156"/>
      <c r="H84" s="156"/>
    </row>
    <row r="85" spans="1:10" hidden="1" x14ac:dyDescent="0.25">
      <c r="A85" s="109"/>
      <c r="B85" s="156"/>
      <c r="C85" s="156"/>
      <c r="D85" s="156"/>
      <c r="E85" s="156"/>
      <c r="F85" s="156"/>
      <c r="G85" s="156"/>
      <c r="H85" s="156"/>
    </row>
    <row r="86" spans="1:10" hidden="1" x14ac:dyDescent="0.25">
      <c r="A86" s="109" t="str">
        <f>A44</f>
        <v>Sunflower</v>
      </c>
      <c r="B86" s="156"/>
      <c r="C86" s="156"/>
      <c r="D86" s="156"/>
      <c r="E86" s="156"/>
      <c r="F86" s="156"/>
      <c r="G86" s="156"/>
      <c r="H86" s="156"/>
    </row>
    <row r="87" spans="1:10" hidden="1" x14ac:dyDescent="0.25">
      <c r="A87" s="109"/>
      <c r="B87" s="156"/>
      <c r="C87" s="156"/>
      <c r="D87" s="156"/>
      <c r="E87" s="156"/>
      <c r="F87" s="156"/>
      <c r="G87" s="156"/>
      <c r="H87" s="156"/>
    </row>
    <row r="88" spans="1:10" hidden="1" x14ac:dyDescent="0.25">
      <c r="A88" s="109"/>
      <c r="B88" s="156"/>
      <c r="C88" s="156"/>
      <c r="D88" s="156"/>
      <c r="E88" s="156"/>
      <c r="F88" s="156"/>
      <c r="G88" s="156"/>
      <c r="H88" s="156"/>
    </row>
    <row r="89" spans="1:10" hidden="1" x14ac:dyDescent="0.25">
      <c r="A89" s="109"/>
      <c r="B89" s="156"/>
      <c r="C89" s="156"/>
      <c r="D89" s="156"/>
      <c r="E89" s="156"/>
      <c r="F89" s="156"/>
      <c r="G89" s="156"/>
      <c r="H89" s="156"/>
    </row>
    <row r="90" spans="1:10" hidden="1" x14ac:dyDescent="0.25">
      <c r="A90" s="109" t="str">
        <f>A45</f>
        <v>Wheat</v>
      </c>
      <c r="B90" s="156"/>
      <c r="C90" s="156"/>
      <c r="D90" s="156"/>
      <c r="E90" s="156"/>
      <c r="F90" s="156"/>
      <c r="G90" s="156"/>
      <c r="H90" s="156"/>
    </row>
    <row r="91" spans="1:10" hidden="1" x14ac:dyDescent="0.25">
      <c r="A91" s="109"/>
      <c r="B91" s="156"/>
      <c r="C91" s="156"/>
      <c r="D91" s="156"/>
      <c r="E91" s="156"/>
      <c r="F91" s="156"/>
      <c r="G91" s="156"/>
      <c r="H91" s="156"/>
    </row>
    <row r="92" spans="1:10" x14ac:dyDescent="0.25">
      <c r="A92" s="109"/>
      <c r="B92" s="156"/>
      <c r="C92" s="156"/>
      <c r="D92" s="156"/>
      <c r="E92" s="156"/>
      <c r="F92" s="156"/>
      <c r="G92" s="156"/>
      <c r="H92" s="156"/>
    </row>
    <row r="93" spans="1:10" x14ac:dyDescent="0.25">
      <c r="A93" s="109" t="str">
        <f>A46</f>
        <v>Bengal Gram/Channa</v>
      </c>
      <c r="B93" s="156"/>
      <c r="C93" s="156"/>
      <c r="D93" s="156"/>
      <c r="E93" s="156"/>
      <c r="F93" s="156"/>
      <c r="G93" s="156"/>
      <c r="H93" s="156"/>
    </row>
    <row r="94" spans="1:10" x14ac:dyDescent="0.25">
      <c r="A94" s="109" t="s">
        <v>452</v>
      </c>
      <c r="B94" s="156">
        <f t="shared" ref="B94:H94" si="18">B46*80%</f>
        <v>3871.0980000000004</v>
      </c>
      <c r="C94" s="156">
        <f t="shared" si="18"/>
        <v>4335.6297600000007</v>
      </c>
      <c r="D94" s="156">
        <f t="shared" si="18"/>
        <v>4800.1615200000015</v>
      </c>
      <c r="E94" s="156">
        <f t="shared" si="18"/>
        <v>5264.6932800000022</v>
      </c>
      <c r="F94" s="156">
        <f t="shared" si="18"/>
        <v>5729.2250400000021</v>
      </c>
      <c r="G94" s="156">
        <f t="shared" si="18"/>
        <v>6193.7568000000028</v>
      </c>
      <c r="H94" s="156">
        <f t="shared" si="18"/>
        <v>6658.2885600000027</v>
      </c>
      <c r="J94" s="157"/>
    </row>
    <row r="95" spans="1:10" x14ac:dyDescent="0.25">
      <c r="A95" s="109" t="s">
        <v>140</v>
      </c>
      <c r="B95" s="156">
        <f t="shared" ref="B95:H95" si="19">B46*20%</f>
        <v>967.7745000000001</v>
      </c>
      <c r="C95" s="156">
        <f t="shared" si="19"/>
        <v>1083.9074400000002</v>
      </c>
      <c r="D95" s="156">
        <f t="shared" si="19"/>
        <v>1200.0403800000004</v>
      </c>
      <c r="E95" s="156">
        <f t="shared" si="19"/>
        <v>1316.1733200000006</v>
      </c>
      <c r="F95" s="156">
        <f t="shared" si="19"/>
        <v>1432.3062600000005</v>
      </c>
      <c r="G95" s="156">
        <f t="shared" si="19"/>
        <v>1548.4392000000007</v>
      </c>
      <c r="H95" s="156">
        <f t="shared" si="19"/>
        <v>1664.5721400000007</v>
      </c>
    </row>
    <row r="96" spans="1:10" hidden="1" x14ac:dyDescent="0.25">
      <c r="A96" s="109" t="str">
        <f>A47</f>
        <v>Jawar</v>
      </c>
      <c r="B96" s="156"/>
      <c r="C96" s="156"/>
      <c r="D96" s="156"/>
      <c r="E96" s="156"/>
      <c r="F96" s="156"/>
      <c r="G96" s="156"/>
      <c r="H96" s="156"/>
    </row>
    <row r="97" spans="1:8" hidden="1" x14ac:dyDescent="0.25">
      <c r="A97" s="109"/>
      <c r="B97" s="156"/>
      <c r="C97" s="156"/>
      <c r="D97" s="156"/>
      <c r="E97" s="156"/>
      <c r="F97" s="156"/>
      <c r="G97" s="156"/>
      <c r="H97" s="156"/>
    </row>
    <row r="98" spans="1:8" hidden="1" x14ac:dyDescent="0.25">
      <c r="A98" s="109"/>
      <c r="B98" s="156"/>
      <c r="C98" s="156"/>
      <c r="D98" s="156"/>
      <c r="E98" s="156"/>
      <c r="F98" s="156"/>
      <c r="G98" s="156"/>
      <c r="H98" s="156"/>
    </row>
    <row r="99" spans="1:8" hidden="1" x14ac:dyDescent="0.25">
      <c r="A99" s="109" t="str">
        <f>A48</f>
        <v>Maize</v>
      </c>
      <c r="B99" s="156"/>
      <c r="C99" s="156"/>
      <c r="D99" s="156"/>
      <c r="E99" s="156"/>
      <c r="F99" s="156"/>
      <c r="G99" s="156"/>
      <c r="H99" s="156"/>
    </row>
    <row r="100" spans="1:8" hidden="1" x14ac:dyDescent="0.25">
      <c r="A100" s="109"/>
      <c r="B100" s="156"/>
      <c r="C100" s="156"/>
      <c r="D100" s="156"/>
      <c r="E100" s="156"/>
      <c r="F100" s="156"/>
      <c r="G100" s="156"/>
      <c r="H100" s="156"/>
    </row>
    <row r="101" spans="1:8" hidden="1" x14ac:dyDescent="0.25">
      <c r="A101" s="109"/>
      <c r="B101" s="156"/>
      <c r="C101" s="156"/>
      <c r="D101" s="156"/>
      <c r="E101" s="156"/>
      <c r="F101" s="156"/>
      <c r="G101" s="156"/>
      <c r="H101" s="156"/>
    </row>
    <row r="102" spans="1:8" hidden="1" x14ac:dyDescent="0.25">
      <c r="A102" s="109" t="str">
        <f>A49</f>
        <v>Safflower</v>
      </c>
      <c r="B102" s="156"/>
      <c r="C102" s="156"/>
      <c r="D102" s="156"/>
      <c r="E102" s="156"/>
      <c r="F102" s="156"/>
      <c r="G102" s="156"/>
      <c r="H102" s="156"/>
    </row>
    <row r="103" spans="1:8" hidden="1" x14ac:dyDescent="0.25">
      <c r="A103" s="109"/>
      <c r="B103" s="156"/>
      <c r="C103" s="156"/>
      <c r="D103" s="156"/>
      <c r="E103" s="156"/>
      <c r="F103" s="156"/>
      <c r="G103" s="156"/>
      <c r="H103" s="156"/>
    </row>
    <row r="104" spans="1:8" hidden="1" x14ac:dyDescent="0.25">
      <c r="A104" s="109"/>
      <c r="B104" s="156"/>
      <c r="C104" s="156"/>
      <c r="D104" s="156"/>
      <c r="E104" s="156"/>
      <c r="F104" s="156"/>
      <c r="G104" s="156"/>
      <c r="H104" s="156"/>
    </row>
    <row r="105" spans="1:8" hidden="1" x14ac:dyDescent="0.25">
      <c r="A105" s="109">
        <f>A50</f>
        <v>0</v>
      </c>
      <c r="B105" s="156"/>
      <c r="C105" s="156"/>
      <c r="D105" s="156"/>
      <c r="E105" s="156"/>
      <c r="F105" s="156"/>
      <c r="G105" s="156"/>
      <c r="H105" s="156"/>
    </row>
    <row r="106" spans="1:8" hidden="1" x14ac:dyDescent="0.25">
      <c r="A106" s="109"/>
      <c r="B106" s="156"/>
      <c r="C106" s="156"/>
      <c r="D106" s="156"/>
      <c r="E106" s="156"/>
      <c r="F106" s="156"/>
      <c r="G106" s="156"/>
      <c r="H106" s="156"/>
    </row>
    <row r="107" spans="1:8" hidden="1" x14ac:dyDescent="0.25">
      <c r="A107" s="109"/>
      <c r="B107" s="156"/>
      <c r="C107" s="156"/>
      <c r="D107" s="156"/>
      <c r="E107" s="156"/>
      <c r="F107" s="156"/>
      <c r="G107" s="156"/>
      <c r="H107" s="156"/>
    </row>
    <row r="108" spans="1:8" hidden="1" x14ac:dyDescent="0.25">
      <c r="A108" s="109">
        <f>A51</f>
        <v>0</v>
      </c>
      <c r="B108" s="156"/>
      <c r="C108" s="156"/>
      <c r="D108" s="156"/>
      <c r="E108" s="156"/>
      <c r="F108" s="156"/>
      <c r="G108" s="156"/>
      <c r="H108" s="156"/>
    </row>
    <row r="109" spans="1:8" hidden="1" x14ac:dyDescent="0.25">
      <c r="A109" s="109"/>
      <c r="B109" s="156"/>
      <c r="C109" s="156"/>
      <c r="D109" s="156"/>
      <c r="E109" s="156"/>
      <c r="F109" s="156"/>
      <c r="G109" s="156"/>
      <c r="H109" s="156"/>
    </row>
    <row r="110" spans="1:8" hidden="1" x14ac:dyDescent="0.25">
      <c r="A110" s="109"/>
      <c r="B110" s="156"/>
      <c r="C110" s="156"/>
      <c r="D110" s="156"/>
      <c r="E110" s="156"/>
      <c r="F110" s="156"/>
      <c r="G110" s="156"/>
      <c r="H110" s="156"/>
    </row>
    <row r="111" spans="1:8" hidden="1" x14ac:dyDescent="0.25">
      <c r="A111" s="109">
        <f>A52</f>
        <v>0</v>
      </c>
      <c r="B111" s="156"/>
      <c r="C111" s="156"/>
      <c r="D111" s="156"/>
      <c r="E111" s="156"/>
      <c r="F111" s="156"/>
      <c r="G111" s="156"/>
      <c r="H111" s="156"/>
    </row>
    <row r="112" spans="1:8" hidden="1" x14ac:dyDescent="0.25">
      <c r="A112" s="109"/>
      <c r="B112" s="156"/>
      <c r="C112" s="156"/>
      <c r="D112" s="156"/>
      <c r="E112" s="156"/>
      <c r="F112" s="156"/>
      <c r="G112" s="156"/>
      <c r="H112" s="156"/>
    </row>
    <row r="113" spans="1:12" hidden="1" x14ac:dyDescent="0.25">
      <c r="A113" s="109"/>
      <c r="B113" s="156"/>
      <c r="C113" s="156"/>
      <c r="D113" s="156"/>
      <c r="E113" s="156"/>
      <c r="F113" s="156"/>
      <c r="G113" s="156"/>
      <c r="H113" s="156"/>
    </row>
    <row r="114" spans="1:12" hidden="1" x14ac:dyDescent="0.25">
      <c r="A114" s="109" t="str">
        <f>A53</f>
        <v>Groundnut</v>
      </c>
      <c r="B114" s="156"/>
      <c r="C114" s="156"/>
      <c r="D114" s="156"/>
      <c r="E114" s="156"/>
      <c r="F114" s="156"/>
      <c r="G114" s="156"/>
      <c r="H114" s="156"/>
    </row>
    <row r="115" spans="1:12" hidden="1" x14ac:dyDescent="0.25">
      <c r="A115" s="109"/>
      <c r="B115" s="156"/>
      <c r="C115" s="156"/>
      <c r="D115" s="156"/>
      <c r="E115" s="156"/>
      <c r="F115" s="156"/>
      <c r="G115" s="156"/>
      <c r="H115" s="156"/>
    </row>
    <row r="116" spans="1:12" hidden="1" x14ac:dyDescent="0.25">
      <c r="A116" s="109"/>
      <c r="B116" s="156"/>
      <c r="C116" s="156"/>
      <c r="D116" s="156"/>
      <c r="E116" s="156"/>
      <c r="F116" s="156"/>
      <c r="G116" s="156"/>
      <c r="H116" s="156"/>
    </row>
    <row r="117" spans="1:12" hidden="1" x14ac:dyDescent="0.25">
      <c r="A117" s="109">
        <f>A54</f>
        <v>0</v>
      </c>
      <c r="B117" s="156"/>
      <c r="C117" s="156"/>
      <c r="D117" s="156"/>
      <c r="E117" s="156"/>
      <c r="F117" s="156"/>
      <c r="G117" s="156"/>
      <c r="H117" s="156"/>
    </row>
    <row r="118" spans="1:12" hidden="1" x14ac:dyDescent="0.25">
      <c r="A118" s="109"/>
      <c r="B118" s="156"/>
      <c r="C118" s="156"/>
      <c r="D118" s="156"/>
      <c r="E118" s="156"/>
      <c r="F118" s="156"/>
      <c r="G118" s="156"/>
      <c r="H118" s="156"/>
    </row>
    <row r="119" spans="1:12" hidden="1" x14ac:dyDescent="0.25">
      <c r="A119" s="109"/>
      <c r="B119" s="156"/>
      <c r="C119" s="156"/>
      <c r="D119" s="156"/>
      <c r="E119" s="156"/>
      <c r="F119" s="156"/>
      <c r="G119" s="156"/>
      <c r="H119" s="156"/>
    </row>
    <row r="120" spans="1:12" hidden="1" x14ac:dyDescent="0.25">
      <c r="A120" s="109">
        <f>A55</f>
        <v>0</v>
      </c>
      <c r="B120" s="156"/>
      <c r="C120" s="156"/>
      <c r="D120" s="156"/>
      <c r="E120" s="156"/>
      <c r="F120" s="156"/>
      <c r="G120" s="156"/>
      <c r="H120" s="156"/>
    </row>
    <row r="121" spans="1:12" x14ac:dyDescent="0.25">
      <c r="A121" s="145"/>
      <c r="B121" s="159"/>
      <c r="C121" s="159"/>
      <c r="D121" s="159"/>
      <c r="E121" s="159"/>
      <c r="F121" s="159"/>
      <c r="G121" s="159"/>
      <c r="H121" s="159"/>
    </row>
    <row r="122" spans="1:12" x14ac:dyDescent="0.25">
      <c r="A122" s="145"/>
      <c r="B122" s="159"/>
      <c r="C122" s="159"/>
      <c r="D122" s="159">
        <f>B57*6500</f>
        <v>0</v>
      </c>
      <c r="E122" s="159"/>
      <c r="F122" s="159"/>
      <c r="G122" s="159"/>
      <c r="H122" s="159"/>
    </row>
    <row r="123" spans="1:12" x14ac:dyDescent="0.25">
      <c r="A123" s="160" t="s">
        <v>438</v>
      </c>
      <c r="B123" s="104">
        <v>50</v>
      </c>
    </row>
    <row r="128" spans="1:12" x14ac:dyDescent="0.25">
      <c r="K128" s="141"/>
      <c r="L128" s="161"/>
    </row>
    <row r="130" spans="1:11" ht="18.75" x14ac:dyDescent="0.3">
      <c r="A130" s="479" t="s">
        <v>581</v>
      </c>
      <c r="B130" s="479"/>
      <c r="C130" s="479"/>
      <c r="D130" s="479"/>
      <c r="E130" s="479"/>
      <c r="F130" s="479"/>
      <c r="G130" s="479"/>
      <c r="H130" s="479"/>
      <c r="I130" s="479"/>
      <c r="J130" s="479"/>
    </row>
    <row r="131" spans="1:11" x14ac:dyDescent="0.25">
      <c r="A131" s="162"/>
      <c r="B131" s="162"/>
      <c r="C131" s="162"/>
      <c r="D131" s="162"/>
      <c r="E131" s="162"/>
      <c r="F131" s="162"/>
      <c r="G131" s="162"/>
      <c r="H131" s="162"/>
    </row>
    <row r="132" spans="1:11" x14ac:dyDescent="0.25">
      <c r="A132" s="162"/>
      <c r="B132" s="162"/>
      <c r="C132" s="162"/>
      <c r="D132" s="163">
        <v>1</v>
      </c>
      <c r="E132" s="164">
        <f>(D132*5%)+D132</f>
        <v>1.05</v>
      </c>
      <c r="F132" s="164">
        <f t="shared" ref="F132:J132" si="20">(E132*5%)+E132</f>
        <v>1.1025</v>
      </c>
      <c r="G132" s="164">
        <f t="shared" si="20"/>
        <v>1.1576250000000001</v>
      </c>
      <c r="H132" s="164">
        <f t="shared" si="20"/>
        <v>1.2155062500000002</v>
      </c>
      <c r="I132" s="164">
        <f t="shared" si="20"/>
        <v>1.2762815625000004</v>
      </c>
      <c r="J132" s="164">
        <f t="shared" si="20"/>
        <v>1.3400956406250004</v>
      </c>
    </row>
    <row r="133" spans="1:11" x14ac:dyDescent="0.25">
      <c r="A133" s="150"/>
      <c r="B133" s="150"/>
      <c r="C133" s="150"/>
      <c r="D133" s="150"/>
      <c r="E133" s="150"/>
      <c r="F133" s="150"/>
      <c r="G133" s="150"/>
      <c r="H133" s="150"/>
      <c r="I133" s="150"/>
      <c r="J133" s="150"/>
    </row>
    <row r="134" spans="1:11" x14ac:dyDescent="0.25">
      <c r="A134" s="165" t="s">
        <v>0</v>
      </c>
      <c r="B134" s="165" t="s">
        <v>131</v>
      </c>
      <c r="C134" s="165" t="s">
        <v>151</v>
      </c>
      <c r="D134" s="166" t="s">
        <v>2</v>
      </c>
      <c r="E134" s="166" t="s">
        <v>3</v>
      </c>
      <c r="F134" s="166" t="s">
        <v>4</v>
      </c>
      <c r="G134" s="166" t="s">
        <v>5</v>
      </c>
      <c r="H134" s="166" t="s">
        <v>6</v>
      </c>
      <c r="I134" s="166" t="s">
        <v>168</v>
      </c>
      <c r="J134" s="166" t="s">
        <v>167</v>
      </c>
    </row>
    <row r="135" spans="1:11" x14ac:dyDescent="0.25">
      <c r="A135" s="109"/>
      <c r="B135" s="109"/>
      <c r="C135" s="109"/>
      <c r="D135" s="109"/>
      <c r="E135" s="109"/>
      <c r="F135" s="109"/>
      <c r="G135" s="109"/>
      <c r="H135" s="109"/>
      <c r="I135" s="109"/>
      <c r="J135" s="109"/>
    </row>
    <row r="136" spans="1:11" x14ac:dyDescent="0.25">
      <c r="A136" s="113" t="s">
        <v>126</v>
      </c>
      <c r="B136" s="113"/>
      <c r="C136" s="113"/>
      <c r="D136" s="167"/>
      <c r="E136" s="167"/>
      <c r="F136" s="167"/>
      <c r="G136" s="167"/>
      <c r="H136" s="167"/>
      <c r="I136" s="109"/>
      <c r="J136" s="109"/>
    </row>
    <row r="137" spans="1:11" x14ac:dyDescent="0.25">
      <c r="A137" s="113" t="s">
        <v>310</v>
      </c>
      <c r="B137" s="113"/>
      <c r="C137" s="113"/>
      <c r="D137" s="109"/>
      <c r="E137" s="109"/>
      <c r="F137" s="109"/>
      <c r="G137" s="109"/>
      <c r="H137" s="109"/>
      <c r="I137" s="109"/>
      <c r="J137" s="109"/>
    </row>
    <row r="138" spans="1:11" x14ac:dyDescent="0.25">
      <c r="A138" s="109" t="s">
        <v>162</v>
      </c>
      <c r="B138" s="110" t="s">
        <v>352</v>
      </c>
      <c r="C138" s="110">
        <v>7300</v>
      </c>
      <c r="D138" s="156">
        <f>(((B94)*(1-'5.Closing Stock &amp; W Capital'!$D$17)))*$C$138*D132</f>
        <v>27976425.246000003</v>
      </c>
      <c r="E138" s="156">
        <f>(((C94)*(1-'5.Closing Stock &amp; W Capital'!$D$17)))*$C$138*E132</f>
        <v>32900276.089296006</v>
      </c>
      <c r="F138" s="156">
        <f>(((D94)*(1-'5.Closing Stock &amp; W Capital'!$D$17)))*$C$138*F132</f>
        <v>38246570.953806609</v>
      </c>
      <c r="G138" s="156">
        <f>(((E94)*(1-'5.Closing Stock &amp; W Capital'!$D$17)))*$C$138*G132</f>
        <v>44045244.61454504</v>
      </c>
      <c r="H138" s="156">
        <f>(((F94)*(1-'5.Closing Stock &amp; W Capital'!$D$17)))*$C$138*H132</f>
        <v>50328169.213972799</v>
      </c>
      <c r="I138" s="156">
        <f>(((G94)*(1-'5.Closing Stock &amp; W Capital'!$D$17)))*$C$138*I132</f>
        <v>57129273.161806963</v>
      </c>
      <c r="J138" s="156">
        <f>(((H94)*(1-'5.Closing Stock &amp; W Capital'!$D$17)))*$C$138*J132</f>
        <v>64484667.081389613</v>
      </c>
    </row>
    <row r="139" spans="1:11" x14ac:dyDescent="0.25">
      <c r="A139" s="109" t="s">
        <v>163</v>
      </c>
      <c r="B139" s="110" t="s">
        <v>352</v>
      </c>
      <c r="C139" s="110">
        <v>7300</v>
      </c>
      <c r="D139" s="156">
        <f>(((B62)*(1-'5.Closing Stock &amp; W Capital'!$D$17)))*$C$139*D132</f>
        <v>29661554.9538</v>
      </c>
      <c r="E139" s="156">
        <f>(((C62)*(1-'5.Closing Stock &amp; W Capital'!$D$17)))*$C$139*E132</f>
        <v>34881988.625668801</v>
      </c>
      <c r="F139" s="156">
        <f>(((D62)*(1-'5.Closing Stock &amp; W Capital'!$D$17)))*$C$139*F132</f>
        <v>40550311.777339987</v>
      </c>
      <c r="G139" s="156">
        <f>(((E62)*(1-'5.Closing Stock &amp; W Capital'!$D$17)))*$C$139*G132</f>
        <v>46698262.272614129</v>
      </c>
      <c r="H139" s="156">
        <f>(((F62)*(1-'5.Closing Stock &amp; W Capital'!$D$17)))*$C$139*H132</f>
        <v>53359632.037972316</v>
      </c>
      <c r="I139" s="156">
        <f>(((G62)*(1-'5.Closing Stock &amp; W Capital'!$D$17)))*$C$139*I132</f>
        <v>60570393.124184795</v>
      </c>
      <c r="J139" s="156">
        <f>(((H62)*(1-'5.Closing Stock &amp; W Capital'!$D$17)))*$C$139*J132</f>
        <v>68368831.238923594</v>
      </c>
    </row>
    <row r="140" spans="1:11" x14ac:dyDescent="0.25">
      <c r="A140" s="109" t="s">
        <v>166</v>
      </c>
      <c r="B140" s="110" t="s">
        <v>352</v>
      </c>
      <c r="C140" s="110">
        <v>6500</v>
      </c>
      <c r="D140" s="156">
        <f>(((B57)*(1-'5.Closing Stock &amp; W Capital'!D17)))*$C$140*D$132</f>
        <v>0</v>
      </c>
      <c r="E140" s="156">
        <f>(((C57)*(1-'5.Closing Stock &amp; W Capital'!$D$17)))*$C$140*E132</f>
        <v>0</v>
      </c>
      <c r="F140" s="156">
        <f>(((D57)*(1-'5.Closing Stock &amp; W Capital'!$D$17)))*$C$140*F132</f>
        <v>0</v>
      </c>
      <c r="G140" s="156">
        <f>(((E57)*(1-'5.Closing Stock &amp; W Capital'!$D$17)))*$C$140*G132</f>
        <v>0</v>
      </c>
      <c r="H140" s="156">
        <f>(((F57)*(1-'5.Closing Stock &amp; W Capital'!$D$17)))*$C$140*H132</f>
        <v>0</v>
      </c>
      <c r="I140" s="156">
        <f>(((G57)*(1-'5.Closing Stock &amp; W Capital'!$D$17)))*$C$140*I132</f>
        <v>0</v>
      </c>
      <c r="J140" s="156">
        <f>(((H57)*(1-'5.Closing Stock &amp; W Capital'!$D$17)))*$C$140*J132</f>
        <v>0</v>
      </c>
    </row>
    <row r="141" spans="1:11" x14ac:dyDescent="0.25">
      <c r="A141" s="109" t="s">
        <v>309</v>
      </c>
      <c r="B141" s="110" t="s">
        <v>352</v>
      </c>
      <c r="C141" s="168">
        <v>9000</v>
      </c>
      <c r="D141" s="156">
        <f>(((B69)*(1-'5.Closing Stock &amp; W Capital'!D18)))*$C$141*D$132</f>
        <v>9983358.0000000019</v>
      </c>
      <c r="E141" s="156">
        <f>(((C69)*(1-'5.Closing Stock &amp; W Capital'!E18)))*$C$141*E$132</f>
        <v>11740429.008000003</v>
      </c>
      <c r="F141" s="156">
        <f>(((D69)*(1-'5.Closing Stock &amp; W Capital'!F18)))*$C$141*F$132</f>
        <v>13648248.721800005</v>
      </c>
      <c r="G141" s="156">
        <f>(((E69)*(1-'5.Closing Stock &amp; W Capital'!G18)))*$C$141*G$132</f>
        <v>15717499.334460007</v>
      </c>
      <c r="H141" s="156">
        <f>(((F69)*(1-'5.Closing Stock &amp; W Capital'!H18)))*$C$141*H$132</f>
        <v>17959554.386581507</v>
      </c>
      <c r="I141" s="156">
        <f>(((G69)*(1-'5.Closing Stock &amp; W Capital'!I18)))*$C$141*I$132</f>
        <v>20386521.195579007</v>
      </c>
      <c r="J141" s="156">
        <f>(((H69)*(1-'5.Closing Stock &amp; W Capital'!J18)))*$C$141*J$132</f>
        <v>23011285.799509805</v>
      </c>
    </row>
    <row r="142" spans="1:11" x14ac:dyDescent="0.25">
      <c r="A142" s="109"/>
      <c r="B142" s="109"/>
      <c r="C142" s="109"/>
      <c r="D142" s="156"/>
      <c r="E142" s="156"/>
      <c r="F142" s="156"/>
      <c r="G142" s="156"/>
      <c r="H142" s="156"/>
      <c r="I142" s="156"/>
      <c r="J142" s="156"/>
    </row>
    <row r="143" spans="1:11" x14ac:dyDescent="0.25">
      <c r="A143" s="113" t="s">
        <v>140</v>
      </c>
      <c r="B143" s="118" t="s">
        <v>351</v>
      </c>
      <c r="C143" s="118">
        <v>7</v>
      </c>
      <c r="D143" s="156">
        <f>((B63+B95+B78+B70)*100)*$C$143*D132</f>
        <v>1589810.1450000003</v>
      </c>
      <c r="E143" s="156">
        <f t="shared" ref="E143:J143" si="21">((C63+C95+C78+C70)*100)*$C$143*E132</f>
        <v>1869616.7305200002</v>
      </c>
      <c r="F143" s="156">
        <f t="shared" si="21"/>
        <v>2173429.4492295007</v>
      </c>
      <c r="G143" s="156">
        <f t="shared" si="21"/>
        <v>2502949.3979836507</v>
      </c>
      <c r="H143" s="156">
        <f t="shared" si="21"/>
        <v>2859987.7679901426</v>
      </c>
      <c r="I143" s="156">
        <f t="shared" si="21"/>
        <v>3246472.6015023245</v>
      </c>
      <c r="J143" s="156">
        <f t="shared" si="21"/>
        <v>3664455.9489457491</v>
      </c>
    </row>
    <row r="144" spans="1:11" x14ac:dyDescent="0.25">
      <c r="A144" s="109"/>
      <c r="B144" s="110"/>
      <c r="C144" s="110"/>
      <c r="E144" s="156"/>
      <c r="F144" s="156"/>
      <c r="G144" s="156"/>
      <c r="H144" s="156"/>
      <c r="I144" s="156"/>
      <c r="J144" s="156"/>
      <c r="K144" s="169">
        <f>[2]Output!T58*70*K132</f>
        <v>0</v>
      </c>
    </row>
    <row r="145" spans="1:10" x14ac:dyDescent="0.25">
      <c r="A145" s="113" t="s">
        <v>287</v>
      </c>
      <c r="B145" s="118" t="s">
        <v>351</v>
      </c>
      <c r="C145" s="118">
        <v>8</v>
      </c>
      <c r="D145" s="156">
        <f>(B34*100)*$C$145*D132</f>
        <v>0</v>
      </c>
      <c r="E145" s="156">
        <f t="shared" ref="E145:J145" si="22">(C34*100)*$C$145*E132</f>
        <v>0</v>
      </c>
      <c r="F145" s="156">
        <f t="shared" si="22"/>
        <v>0</v>
      </c>
      <c r="G145" s="156">
        <f t="shared" si="22"/>
        <v>0</v>
      </c>
      <c r="H145" s="156">
        <f t="shared" si="22"/>
        <v>0</v>
      </c>
      <c r="I145" s="156">
        <f t="shared" si="22"/>
        <v>0</v>
      </c>
      <c r="J145" s="156">
        <f t="shared" si="22"/>
        <v>0</v>
      </c>
    </row>
    <row r="146" spans="1:10" x14ac:dyDescent="0.25">
      <c r="A146" s="109"/>
      <c r="B146" s="109"/>
      <c r="C146" s="109"/>
      <c r="D146" s="156"/>
      <c r="E146" s="156"/>
      <c r="F146" s="156"/>
      <c r="G146" s="156"/>
      <c r="H146" s="156"/>
      <c r="I146" s="156"/>
      <c r="J146" s="156"/>
    </row>
    <row r="147" spans="1:10" x14ac:dyDescent="0.25">
      <c r="A147" s="113" t="s">
        <v>126</v>
      </c>
      <c r="B147" s="113"/>
      <c r="C147" s="113"/>
      <c r="D147" s="155">
        <f>SUM(D138:D145)</f>
        <v>69211148.344799995</v>
      </c>
      <c r="E147" s="155">
        <f>SUM(E138:E145)</f>
        <v>81392310.453484803</v>
      </c>
      <c r="F147" s="155">
        <f t="shared" ref="F147:J147" si="23">SUM(F138:F145)</f>
        <v>94618560.902176097</v>
      </c>
      <c r="G147" s="155">
        <f t="shared" si="23"/>
        <v>108963955.61960283</v>
      </c>
      <c r="H147" s="155">
        <f t="shared" si="23"/>
        <v>124507343.40651676</v>
      </c>
      <c r="I147" s="155">
        <f t="shared" si="23"/>
        <v>141332660.08307311</v>
      </c>
      <c r="J147" s="155">
        <f t="shared" si="23"/>
        <v>159529240.06876877</v>
      </c>
    </row>
    <row r="148" spans="1:10" x14ac:dyDescent="0.25">
      <c r="A148" s="109"/>
      <c r="B148" s="109"/>
      <c r="C148" s="109"/>
      <c r="D148" s="156"/>
      <c r="E148" s="156"/>
      <c r="F148" s="156"/>
      <c r="G148" s="156"/>
      <c r="H148" s="156"/>
      <c r="I148" s="156"/>
      <c r="J148" s="156"/>
    </row>
    <row r="149" spans="1:10" x14ac:dyDescent="0.25">
      <c r="A149" s="113" t="s">
        <v>141</v>
      </c>
      <c r="B149" s="113"/>
      <c r="C149" s="113"/>
      <c r="D149" s="156"/>
      <c r="E149" s="156"/>
      <c r="F149" s="156"/>
      <c r="G149" s="156"/>
      <c r="H149" s="156"/>
      <c r="I149" s="156"/>
      <c r="J149" s="156"/>
    </row>
    <row r="150" spans="1:10" x14ac:dyDescent="0.25">
      <c r="A150" s="113" t="s">
        <v>305</v>
      </c>
      <c r="B150" s="113"/>
      <c r="C150" s="109"/>
      <c r="D150" s="156"/>
      <c r="E150" s="156"/>
      <c r="F150" s="156"/>
      <c r="G150" s="156"/>
      <c r="H150" s="156"/>
      <c r="I150" s="156"/>
      <c r="J150" s="156"/>
    </row>
    <row r="151" spans="1:10" x14ac:dyDescent="0.25">
      <c r="A151" s="133" t="s">
        <v>162</v>
      </c>
      <c r="B151" s="110" t="s">
        <v>352</v>
      </c>
      <c r="C151" s="110">
        <v>4700</v>
      </c>
      <c r="D151" s="156">
        <f>(B46)*$C$151*D132</f>
        <v>22742700.750000004</v>
      </c>
      <c r="E151" s="156">
        <f t="shared" ref="E151:J151" si="24">(C46)*$C$151*E132</f>
        <v>26745416.082000006</v>
      </c>
      <c r="F151" s="156">
        <f t="shared" si="24"/>
        <v>31091546.19532501</v>
      </c>
      <c r="G151" s="156">
        <f t="shared" si="24"/>
        <v>35805425.779777519</v>
      </c>
      <c r="H151" s="156">
        <f t="shared" si="24"/>
        <v>40912964.45718696</v>
      </c>
      <c r="I151" s="156">
        <f t="shared" si="24"/>
        <v>46441743.437887907</v>
      </c>
      <c r="J151" s="156">
        <f t="shared" si="24"/>
        <v>52421117.905515976</v>
      </c>
    </row>
    <row r="152" spans="1:10" x14ac:dyDescent="0.25">
      <c r="A152" s="109" t="s">
        <v>311</v>
      </c>
      <c r="B152" s="110" t="s">
        <v>352</v>
      </c>
      <c r="C152" s="110">
        <v>5800</v>
      </c>
      <c r="D152" s="156">
        <f t="shared" ref="D152:J152" si="25">(B37)*$C$152*D132</f>
        <v>29755953.149999999</v>
      </c>
      <c r="E152" s="156">
        <f t="shared" si="25"/>
        <v>34993000.904400006</v>
      </c>
      <c r="F152" s="156">
        <f t="shared" si="25"/>
        <v>40679363.551365003</v>
      </c>
      <c r="G152" s="156">
        <f t="shared" si="25"/>
        <v>46846879.960765518</v>
      </c>
      <c r="H152" s="156">
        <f t="shared" si="25"/>
        <v>53529449.602227658</v>
      </c>
      <c r="I152" s="156">
        <f t="shared" si="25"/>
        <v>60763159.007934108</v>
      </c>
      <c r="J152" s="156">
        <f t="shared" si="25"/>
        <v>68586415.730205625</v>
      </c>
    </row>
    <row r="153" spans="1:10" x14ac:dyDescent="0.25">
      <c r="A153" s="109" t="s">
        <v>166</v>
      </c>
      <c r="B153" s="110" t="s">
        <v>352</v>
      </c>
      <c r="C153" s="110">
        <f>6300</f>
        <v>6300</v>
      </c>
      <c r="D153" s="156">
        <f>(B36)*$C$153*D132</f>
        <v>0</v>
      </c>
      <c r="E153" s="156">
        <f t="shared" ref="E153:J153" si="26">(C57)*$C$153*E132</f>
        <v>0</v>
      </c>
      <c r="F153" s="156">
        <f t="shared" si="26"/>
        <v>0</v>
      </c>
      <c r="G153" s="156">
        <f t="shared" si="26"/>
        <v>0</v>
      </c>
      <c r="H153" s="156">
        <f t="shared" si="26"/>
        <v>0</v>
      </c>
      <c r="I153" s="156">
        <f t="shared" si="26"/>
        <v>0</v>
      </c>
      <c r="J153" s="156">
        <f t="shared" si="26"/>
        <v>0</v>
      </c>
    </row>
    <row r="154" spans="1:10" x14ac:dyDescent="0.25">
      <c r="A154" s="109" t="s">
        <v>309</v>
      </c>
      <c r="B154" s="110" t="s">
        <v>352</v>
      </c>
      <c r="C154" s="168">
        <v>6000</v>
      </c>
      <c r="D154" s="156">
        <f>(B39)*$C$154*D132</f>
        <v>8319465.0000000009</v>
      </c>
      <c r="E154" s="156">
        <f t="shared" ref="E154:J154" si="27">(C39)*$C$154*E132</f>
        <v>9783690.8400000017</v>
      </c>
      <c r="F154" s="156">
        <f t="shared" si="27"/>
        <v>11373540.601500005</v>
      </c>
      <c r="G154" s="156">
        <f t="shared" si="27"/>
        <v>13097916.112050004</v>
      </c>
      <c r="H154" s="156">
        <f t="shared" si="27"/>
        <v>14966295.322151257</v>
      </c>
      <c r="I154" s="156">
        <f t="shared" si="27"/>
        <v>16988767.662982509</v>
      </c>
      <c r="J154" s="156">
        <f t="shared" si="27"/>
        <v>19176071.499591503</v>
      </c>
    </row>
    <row r="155" spans="1:10" x14ac:dyDescent="0.25">
      <c r="A155" s="109"/>
      <c r="B155" s="110"/>
      <c r="C155" s="168"/>
      <c r="D155" s="156"/>
      <c r="E155" s="156"/>
      <c r="F155" s="156"/>
      <c r="G155" s="156"/>
      <c r="H155" s="156"/>
      <c r="I155" s="156"/>
      <c r="J155" s="156"/>
    </row>
    <row r="156" spans="1:10" x14ac:dyDescent="0.25">
      <c r="A156" s="109" t="s">
        <v>353</v>
      </c>
      <c r="B156" s="110">
        <v>2</v>
      </c>
      <c r="C156" s="110">
        <v>150</v>
      </c>
      <c r="D156" s="156">
        <f>(B32/10)*$B$156*$C$156*D132</f>
        <v>340673.60249999998</v>
      </c>
      <c r="E156" s="156">
        <f t="shared" ref="E156:J156" si="28">(C32/10)*$B$156*$C$156*E132</f>
        <v>400632.15654000005</v>
      </c>
      <c r="F156" s="156">
        <f t="shared" si="28"/>
        <v>465734.8819777501</v>
      </c>
      <c r="G156" s="156">
        <f t="shared" si="28"/>
        <v>536346.29956792516</v>
      </c>
      <c r="H156" s="156">
        <f t="shared" si="28"/>
        <v>612854.52171217336</v>
      </c>
      <c r="I156" s="156">
        <f t="shared" si="28"/>
        <v>695672.70032192674</v>
      </c>
      <c r="J156" s="156">
        <f t="shared" si="28"/>
        <v>785240.56048837479</v>
      </c>
    </row>
    <row r="157" spans="1:10" x14ac:dyDescent="0.25">
      <c r="A157" s="109" t="s">
        <v>312</v>
      </c>
      <c r="B157" s="110">
        <v>1</v>
      </c>
      <c r="C157" s="110">
        <v>300</v>
      </c>
      <c r="D157" s="156">
        <f t="shared" ref="D157:J157" si="29">B12*$B$157*$C$157*D132</f>
        <v>31500</v>
      </c>
      <c r="E157" s="156">
        <f t="shared" si="29"/>
        <v>37170</v>
      </c>
      <c r="F157" s="156">
        <f t="shared" si="29"/>
        <v>42997.5</v>
      </c>
      <c r="G157" s="156">
        <f t="shared" si="29"/>
        <v>49662.112500000003</v>
      </c>
      <c r="H157" s="156">
        <f t="shared" si="29"/>
        <v>56885.692500000012</v>
      </c>
      <c r="I157" s="156">
        <f t="shared" si="29"/>
        <v>64324.590750000018</v>
      </c>
      <c r="J157" s="156">
        <f t="shared" si="29"/>
        <v>72767.193285937523</v>
      </c>
    </row>
    <row r="158" spans="1:10" x14ac:dyDescent="0.25">
      <c r="A158" s="109" t="s">
        <v>143</v>
      </c>
      <c r="B158" s="109">
        <f>30*0.746*8</f>
        <v>179.04</v>
      </c>
      <c r="C158" s="110">
        <v>10</v>
      </c>
      <c r="D158" s="156">
        <f t="shared" ref="D158:J158" si="30">$B$158*$C$158*B12*D132</f>
        <v>187992</v>
      </c>
      <c r="E158" s="156">
        <f t="shared" si="30"/>
        <v>221830.56</v>
      </c>
      <c r="F158" s="156">
        <f t="shared" si="30"/>
        <v>256609.08</v>
      </c>
      <c r="G158" s="156">
        <f t="shared" si="30"/>
        <v>296383.48739999998</v>
      </c>
      <c r="H158" s="156">
        <f t="shared" si="30"/>
        <v>339493.81284000003</v>
      </c>
      <c r="I158" s="156">
        <f t="shared" si="30"/>
        <v>383889.15759600006</v>
      </c>
      <c r="J158" s="156">
        <f t="shared" si="30"/>
        <v>434274.60953047511</v>
      </c>
    </row>
    <row r="159" spans="1:10" x14ac:dyDescent="0.25">
      <c r="A159" s="109" t="s">
        <v>288</v>
      </c>
      <c r="B159" s="109"/>
      <c r="C159" s="110">
        <v>25</v>
      </c>
      <c r="D159" s="156">
        <f t="shared" ref="D159:J159" si="31">((B32*100)/50)*$C$159*D132</f>
        <v>567789.33749999991</v>
      </c>
      <c r="E159" s="156">
        <f t="shared" si="31"/>
        <v>667720.26090000011</v>
      </c>
      <c r="F159" s="156">
        <f t="shared" si="31"/>
        <v>776224.80329625017</v>
      </c>
      <c r="G159" s="156">
        <f t="shared" si="31"/>
        <v>893910.49927987531</v>
      </c>
      <c r="H159" s="156">
        <f t="shared" si="31"/>
        <v>1021424.2028536223</v>
      </c>
      <c r="I159" s="156">
        <f t="shared" si="31"/>
        <v>1159454.5005365445</v>
      </c>
      <c r="J159" s="156">
        <f t="shared" si="31"/>
        <v>1308734.2674806246</v>
      </c>
    </row>
    <row r="160" spans="1:10" x14ac:dyDescent="0.25">
      <c r="A160" s="170" t="s">
        <v>289</v>
      </c>
      <c r="B160" s="170"/>
      <c r="C160" s="171">
        <v>40</v>
      </c>
      <c r="D160" s="156">
        <f t="shared" ref="D160:J160" si="32">(((B77+B69+B94+B62)*100)/50)*$C$160*D132</f>
        <v>726770.35200000019</v>
      </c>
      <c r="E160" s="156">
        <f t="shared" si="32"/>
        <v>854681.93395200011</v>
      </c>
      <c r="F160" s="156">
        <f t="shared" si="32"/>
        <v>993567.74821920041</v>
      </c>
      <c r="G160" s="156">
        <f t="shared" si="32"/>
        <v>1144205.4390782404</v>
      </c>
      <c r="H160" s="156">
        <f t="shared" si="32"/>
        <v>1307422.9796526365</v>
      </c>
      <c r="I160" s="156">
        <f t="shared" si="32"/>
        <v>1484101.7606867771</v>
      </c>
      <c r="J160" s="156">
        <f t="shared" si="32"/>
        <v>1675179.8623751996</v>
      </c>
    </row>
    <row r="161" spans="1:10" x14ac:dyDescent="0.25">
      <c r="A161" s="109" t="s">
        <v>290</v>
      </c>
      <c r="B161" s="109"/>
      <c r="C161" s="110">
        <v>200</v>
      </c>
      <c r="D161" s="156">
        <f>(((B77+B68+B94+B62)*100)/50)*$C$161*D132</f>
        <v>3190146.9600000004</v>
      </c>
      <c r="E161" s="156">
        <f t="shared" ref="E161:J161" si="33">(((C77+C68+C94+C62)*100)/50)*$C$161*E132</f>
        <v>3751612.8249600008</v>
      </c>
      <c r="F161" s="156">
        <f t="shared" si="33"/>
        <v>4361249.909016001</v>
      </c>
      <c r="G161" s="156">
        <f t="shared" si="33"/>
        <v>5022471.669415202</v>
      </c>
      <c r="H161" s="156">
        <f t="shared" si="33"/>
        <v>5738912.4810817828</v>
      </c>
      <c r="I161" s="156">
        <f t="shared" si="33"/>
        <v>6514441.1947414838</v>
      </c>
      <c r="J161" s="156">
        <f t="shared" si="33"/>
        <v>7353175.498564451</v>
      </c>
    </row>
    <row r="162" spans="1:10" x14ac:dyDescent="0.25">
      <c r="A162" s="109"/>
      <c r="B162" s="109"/>
      <c r="C162" s="109"/>
      <c r="D162" s="109"/>
      <c r="E162" s="109"/>
      <c r="F162" s="109"/>
      <c r="G162" s="109"/>
      <c r="H162" s="109"/>
      <c r="I162" s="109"/>
      <c r="J162" s="109"/>
    </row>
    <row r="163" spans="1:10" hidden="1" x14ac:dyDescent="0.25">
      <c r="A163" s="109"/>
      <c r="B163" s="109"/>
      <c r="C163" s="109"/>
      <c r="D163" s="109"/>
      <c r="E163" s="109"/>
      <c r="F163" s="109"/>
      <c r="G163" s="109"/>
      <c r="H163" s="109"/>
      <c r="I163" s="109"/>
      <c r="J163" s="109"/>
    </row>
    <row r="164" spans="1:10" hidden="1" x14ac:dyDescent="0.25">
      <c r="A164" s="109"/>
      <c r="B164" s="109"/>
      <c r="C164" s="109"/>
      <c r="D164" s="109"/>
      <c r="E164" s="109"/>
      <c r="F164" s="109"/>
      <c r="G164" s="109"/>
      <c r="H164" s="109"/>
      <c r="I164" s="109"/>
      <c r="J164" s="109"/>
    </row>
    <row r="165" spans="1:10" x14ac:dyDescent="0.25">
      <c r="A165" s="109"/>
      <c r="B165" s="109"/>
      <c r="C165" s="109"/>
      <c r="D165" s="109"/>
      <c r="E165" s="109"/>
      <c r="F165" s="109"/>
      <c r="G165" s="109"/>
      <c r="H165" s="109"/>
      <c r="I165" s="109"/>
      <c r="J165" s="109"/>
    </row>
    <row r="166" spans="1:10" x14ac:dyDescent="0.25">
      <c r="A166" s="172" t="s">
        <v>335</v>
      </c>
      <c r="B166" s="156"/>
      <c r="C166" s="156"/>
      <c r="D166" s="156"/>
      <c r="E166" s="156">
        <f>'5.Closing Stock &amp; W Capital'!F8</f>
        <v>626728.44192000001</v>
      </c>
      <c r="F166" s="156">
        <f>'5.Closing Stock &amp; W Capital'!G8</f>
        <v>737041.42737792036</v>
      </c>
      <c r="G166" s="156">
        <f>'5.Closing Stock &amp; W Capital'!H8</f>
        <v>856795.84361683216</v>
      </c>
      <c r="H166" s="156">
        <f>'5.Closing Stock &amp; W Capital'!I8</f>
        <v>986707.29690419068</v>
      </c>
      <c r="I166" s="156">
        <f>'5.Closing Stock &amp; W Capital'!J8</f>
        <v>1127467.9059112431</v>
      </c>
      <c r="J166" s="156">
        <f>'5.Closing Stock &amp; W Capital'!K8</f>
        <v>1279811.1281869577</v>
      </c>
    </row>
    <row r="167" spans="1:10" x14ac:dyDescent="0.25">
      <c r="A167" s="172" t="s">
        <v>336</v>
      </c>
      <c r="B167" s="156"/>
      <c r="C167" s="156"/>
      <c r="D167" s="156">
        <f>'5.Closing Stock &amp; W Capital'!E17</f>
        <v>626728.44192000001</v>
      </c>
      <c r="E167" s="156">
        <f>'5.Closing Stock &amp; W Capital'!F17</f>
        <v>737041.42737792036</v>
      </c>
      <c r="F167" s="156">
        <f>'5.Closing Stock &amp; W Capital'!G17</f>
        <v>856795.84361683216</v>
      </c>
      <c r="G167" s="156">
        <f>'5.Closing Stock &amp; W Capital'!H17</f>
        <v>986707.29690419068</v>
      </c>
      <c r="H167" s="156">
        <f>'5.Closing Stock &amp; W Capital'!I17</f>
        <v>1127467.9059112431</v>
      </c>
      <c r="I167" s="156">
        <f>'5.Closing Stock &amp; W Capital'!J17</f>
        <v>1279811.1281869577</v>
      </c>
      <c r="J167" s="156">
        <f>'5.Closing Stock &amp; W Capital'!K17</f>
        <v>1444598.016284737</v>
      </c>
    </row>
    <row r="168" spans="1:10" x14ac:dyDescent="0.25">
      <c r="A168" s="156"/>
      <c r="B168" s="156"/>
      <c r="C168" s="156"/>
      <c r="D168" s="156"/>
      <c r="E168" s="156"/>
      <c r="F168" s="156"/>
      <c r="G168" s="156"/>
      <c r="H168" s="156"/>
      <c r="I168" s="156"/>
      <c r="J168" s="156"/>
    </row>
    <row r="169" spans="1:10" x14ac:dyDescent="0.25">
      <c r="A169" s="155" t="s">
        <v>313</v>
      </c>
      <c r="B169" s="156"/>
      <c r="C169" s="156"/>
      <c r="D169" s="155">
        <f>SUM(D151:D166)-D167</f>
        <v>65236262.710080005</v>
      </c>
      <c r="E169" s="155">
        <f>SUM(E151:E166)-E167</f>
        <v>77345442.577294111</v>
      </c>
      <c r="F169" s="155">
        <f t="shared" ref="F169:J169" si="34">SUM(F151:F166)-F167</f>
        <v>89921079.854460314</v>
      </c>
      <c r="G169" s="155">
        <f t="shared" si="34"/>
        <v>103563289.90654691</v>
      </c>
      <c r="H169" s="155">
        <f t="shared" si="34"/>
        <v>118344942.46319905</v>
      </c>
      <c r="I169" s="155">
        <f t="shared" si="34"/>
        <v>134343210.79116151</v>
      </c>
      <c r="J169" s="155">
        <f t="shared" si="34"/>
        <v>151648190.23894039</v>
      </c>
    </row>
    <row r="170" spans="1:10" x14ac:dyDescent="0.25">
      <c r="A170" s="150"/>
      <c r="B170" s="150"/>
      <c r="C170" s="150"/>
      <c r="D170" s="150"/>
      <c r="E170" s="150"/>
      <c r="F170" s="150"/>
      <c r="G170" s="150"/>
      <c r="H170" s="150"/>
      <c r="I170" s="150"/>
      <c r="J170" s="150"/>
    </row>
    <row r="171" spans="1:10" x14ac:dyDescent="0.25">
      <c r="A171" s="173" t="s">
        <v>303</v>
      </c>
      <c r="B171" s="173"/>
      <c r="C171" s="173"/>
      <c r="D171" s="155"/>
      <c r="E171" s="155"/>
      <c r="F171" s="155"/>
      <c r="G171" s="155"/>
      <c r="H171" s="155"/>
      <c r="I171" s="155"/>
      <c r="J171" s="155"/>
    </row>
    <row r="172" spans="1:10" x14ac:dyDescent="0.25">
      <c r="A172" s="109" t="s">
        <v>187</v>
      </c>
      <c r="B172" s="110">
        <v>1</v>
      </c>
      <c r="C172" s="168">
        <v>15000</v>
      </c>
      <c r="D172" s="156">
        <f>$B$172*$C$172*12*D132</f>
        <v>180000</v>
      </c>
      <c r="E172" s="156">
        <f t="shared" ref="E172:J172" si="35">$B$172*$C$172*12*E132</f>
        <v>189000</v>
      </c>
      <c r="F172" s="156">
        <f t="shared" si="35"/>
        <v>198450</v>
      </c>
      <c r="G172" s="156">
        <f t="shared" si="35"/>
        <v>208372.50000000003</v>
      </c>
      <c r="H172" s="156">
        <f t="shared" si="35"/>
        <v>218791.12500000003</v>
      </c>
      <c r="I172" s="156">
        <f t="shared" si="35"/>
        <v>229730.68125000005</v>
      </c>
      <c r="J172" s="156">
        <f t="shared" si="35"/>
        <v>241217.21531250008</v>
      </c>
    </row>
    <row r="173" spans="1:10" x14ac:dyDescent="0.25">
      <c r="A173" s="109" t="s">
        <v>682</v>
      </c>
      <c r="B173" s="110">
        <v>5</v>
      </c>
      <c r="C173" s="168">
        <v>10000</v>
      </c>
      <c r="D173" s="156">
        <f>$B$173*$C$173*12*D132</f>
        <v>600000</v>
      </c>
      <c r="E173" s="156">
        <f t="shared" ref="E173:J173" si="36">$B$173*$C$173*12*E132</f>
        <v>630000</v>
      </c>
      <c r="F173" s="156">
        <f t="shared" si="36"/>
        <v>661500</v>
      </c>
      <c r="G173" s="156">
        <f t="shared" si="36"/>
        <v>694575.00000000012</v>
      </c>
      <c r="H173" s="156">
        <f t="shared" si="36"/>
        <v>729303.75000000012</v>
      </c>
      <c r="I173" s="156">
        <f t="shared" si="36"/>
        <v>765768.93750000023</v>
      </c>
      <c r="J173" s="156">
        <f t="shared" si="36"/>
        <v>804057.38437500026</v>
      </c>
    </row>
    <row r="174" spans="1:10" x14ac:dyDescent="0.25">
      <c r="A174" s="109"/>
      <c r="B174" s="110"/>
      <c r="C174" s="168"/>
      <c r="D174" s="156"/>
      <c r="E174" s="156"/>
      <c r="F174" s="156"/>
      <c r="G174" s="156"/>
      <c r="H174" s="156"/>
      <c r="I174" s="156"/>
      <c r="J174" s="156"/>
    </row>
    <row r="175" spans="1:10" x14ac:dyDescent="0.25">
      <c r="A175" s="109"/>
      <c r="B175" s="110"/>
      <c r="C175" s="168"/>
      <c r="D175" s="156"/>
      <c r="E175" s="156"/>
      <c r="F175" s="156"/>
      <c r="G175" s="156"/>
      <c r="H175" s="156"/>
      <c r="I175" s="156"/>
      <c r="J175" s="156"/>
    </row>
    <row r="176" spans="1:10" x14ac:dyDescent="0.25">
      <c r="A176" s="109"/>
      <c r="B176" s="110"/>
      <c r="C176" s="168"/>
      <c r="D176" s="156"/>
      <c r="E176" s="156"/>
      <c r="F176" s="156"/>
      <c r="G176" s="156"/>
      <c r="H176" s="156"/>
      <c r="I176" s="156"/>
      <c r="J176" s="156"/>
    </row>
    <row r="177" spans="1:10" x14ac:dyDescent="0.25">
      <c r="A177" s="113" t="s">
        <v>303</v>
      </c>
      <c r="B177" s="113"/>
      <c r="C177" s="113"/>
      <c r="D177" s="155">
        <f>SUM(D172:D176)</f>
        <v>780000</v>
      </c>
      <c r="E177" s="155">
        <f t="shared" ref="E177:J177" si="37">SUM(E172:E176)</f>
        <v>819000</v>
      </c>
      <c r="F177" s="155">
        <f t="shared" si="37"/>
        <v>859950</v>
      </c>
      <c r="G177" s="155">
        <f t="shared" si="37"/>
        <v>902947.50000000012</v>
      </c>
      <c r="H177" s="155">
        <f t="shared" si="37"/>
        <v>948094.87500000012</v>
      </c>
      <c r="I177" s="155">
        <f t="shared" si="37"/>
        <v>995499.61875000026</v>
      </c>
      <c r="J177" s="155">
        <f t="shared" si="37"/>
        <v>1045274.5996875004</v>
      </c>
    </row>
    <row r="178" spans="1:10" x14ac:dyDescent="0.25">
      <c r="A178" s="173" t="s">
        <v>291</v>
      </c>
      <c r="B178" s="173"/>
      <c r="C178" s="173"/>
      <c r="D178" s="155">
        <f>D169+D177</f>
        <v>66016262.710080005</v>
      </c>
      <c r="E178" s="155">
        <f t="shared" ref="E178:J178" si="38">E169+E177</f>
        <v>78164442.577294111</v>
      </c>
      <c r="F178" s="155">
        <f t="shared" si="38"/>
        <v>90781029.854460314</v>
      </c>
      <c r="G178" s="155">
        <f t="shared" si="38"/>
        <v>104466237.40654691</v>
      </c>
      <c r="H178" s="155">
        <f t="shared" si="38"/>
        <v>119293037.33819905</v>
      </c>
      <c r="I178" s="155">
        <f t="shared" si="38"/>
        <v>135338710.40991151</v>
      </c>
      <c r="J178" s="155">
        <f t="shared" si="38"/>
        <v>152693464.83862787</v>
      </c>
    </row>
    <row r="179" spans="1:10" x14ac:dyDescent="0.25">
      <c r="A179" s="109"/>
      <c r="B179" s="109"/>
      <c r="C179" s="109"/>
      <c r="D179" s="156"/>
      <c r="E179" s="156"/>
      <c r="F179" s="156"/>
      <c r="G179" s="156"/>
      <c r="H179" s="156"/>
      <c r="I179" s="156"/>
      <c r="J179" s="156"/>
    </row>
    <row r="180" spans="1:10" x14ac:dyDescent="0.25">
      <c r="A180" s="113" t="s">
        <v>7</v>
      </c>
      <c r="B180" s="113"/>
      <c r="C180" s="113"/>
      <c r="D180" s="155">
        <f t="shared" ref="D180:J180" si="39">D147-D178</f>
        <v>3194885.6347199902</v>
      </c>
      <c r="E180" s="155">
        <f t="shared" si="39"/>
        <v>3227867.8761906922</v>
      </c>
      <c r="F180" s="155">
        <f t="shared" si="39"/>
        <v>3837531.0477157831</v>
      </c>
      <c r="G180" s="155">
        <f t="shared" si="39"/>
        <v>4497718.2130559236</v>
      </c>
      <c r="H180" s="155">
        <f t="shared" si="39"/>
        <v>5214306.0683177114</v>
      </c>
      <c r="I180" s="155">
        <f t="shared" si="39"/>
        <v>5993949.6731615961</v>
      </c>
      <c r="J180" s="155">
        <f t="shared" si="39"/>
        <v>6835775.2301408947</v>
      </c>
    </row>
    <row r="181" spans="1:10" x14ac:dyDescent="0.25">
      <c r="A181" s="119"/>
      <c r="B181" s="119"/>
      <c r="C181" s="119"/>
      <c r="D181" s="150"/>
      <c r="E181" s="150"/>
      <c r="F181" s="150"/>
      <c r="G181" s="150"/>
      <c r="H181" s="150"/>
      <c r="I181" s="150"/>
      <c r="J181" s="150"/>
    </row>
    <row r="182" spans="1:10" x14ac:dyDescent="0.25">
      <c r="A182" s="150"/>
      <c r="B182" s="150"/>
      <c r="C182" s="150"/>
      <c r="D182" s="150">
        <f>D180/D147</f>
        <v>4.6161430797297696E-2</v>
      </c>
      <c r="E182" s="150">
        <f t="shared" ref="E182:J182" si="40">E180/E147</f>
        <v>3.9658142866400119E-2</v>
      </c>
      <c r="F182" s="150">
        <f t="shared" si="40"/>
        <v>4.0557909686275151E-2</v>
      </c>
      <c r="G182" s="150">
        <f t="shared" si="40"/>
        <v>4.1277119461022714E-2</v>
      </c>
      <c r="H182" s="150">
        <f t="shared" si="40"/>
        <v>4.1879506265690612E-2</v>
      </c>
      <c r="I182" s="150">
        <f t="shared" si="40"/>
        <v>4.2410223296147166E-2</v>
      </c>
      <c r="J182" s="150">
        <f t="shared" si="40"/>
        <v>4.2849669610374723E-2</v>
      </c>
    </row>
    <row r="183" spans="1:10" x14ac:dyDescent="0.25">
      <c r="A183" s="150"/>
      <c r="B183" s="150"/>
      <c r="C183" s="150"/>
      <c r="D183" s="150"/>
      <c r="E183" s="150"/>
      <c r="F183" s="150"/>
      <c r="G183" s="150"/>
      <c r="H183" s="150"/>
      <c r="I183" s="150"/>
      <c r="J183" s="150"/>
    </row>
    <row r="184" spans="1:10" x14ac:dyDescent="0.25">
      <c r="A184" s="483" t="s">
        <v>414</v>
      </c>
      <c r="B184" s="483"/>
      <c r="C184" s="483"/>
      <c r="D184" s="483"/>
      <c r="E184" s="483"/>
      <c r="F184" s="483"/>
      <c r="G184" s="483"/>
      <c r="H184" s="483"/>
      <c r="I184" s="483"/>
      <c r="J184" s="483"/>
    </row>
    <row r="186" spans="1:10" x14ac:dyDescent="0.25">
      <c r="A186" s="104" t="s">
        <v>530</v>
      </c>
    </row>
    <row r="187" spans="1:10" x14ac:dyDescent="0.25">
      <c r="A187" s="104">
        <v>1</v>
      </c>
      <c r="B187" s="104" t="s">
        <v>543</v>
      </c>
    </row>
    <row r="188" spans="1:10" x14ac:dyDescent="0.25">
      <c r="A188" s="104">
        <v>2</v>
      </c>
      <c r="B188" s="104" t="s">
        <v>544</v>
      </c>
    </row>
    <row r="189" spans="1:10" x14ac:dyDescent="0.25">
      <c r="A189" s="104">
        <v>3</v>
      </c>
      <c r="B189" s="150" t="s">
        <v>595</v>
      </c>
    </row>
  </sheetData>
  <mergeCells count="4">
    <mergeCell ref="A130:J130"/>
    <mergeCell ref="A184:J184"/>
    <mergeCell ref="A3:H3"/>
    <mergeCell ref="A4:H4"/>
  </mergeCells>
  <pageMargins left="0.7" right="0.7" top="0.75" bottom="0.75" header="0.3" footer="0.3"/>
  <pageSetup paperSize="9" scale="45" orientation="portrait" r:id="rId1"/>
  <rowBreaks count="1" manualBreakCount="1">
    <brk id="9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60" zoomScaleNormal="80" workbookViewId="0">
      <selection activeCell="K26" sqref="K26"/>
    </sheetView>
  </sheetViews>
  <sheetFormatPr defaultColWidth="10" defaultRowHeight="15" x14ac:dyDescent="0.25"/>
  <cols>
    <col min="1" max="1" width="30.42578125" customWidth="1"/>
    <col min="2" max="2" width="15.5703125" customWidth="1"/>
    <col min="3" max="3" width="10.7109375" bestFit="1" customWidth="1"/>
    <col min="4" max="4" width="13.7109375" bestFit="1" customWidth="1"/>
    <col min="5" max="8" width="11.5703125" bestFit="1" customWidth="1"/>
    <col min="9" max="9" width="14" bestFit="1" customWidth="1"/>
    <col min="10" max="10" width="11.5703125" bestFit="1" customWidth="1"/>
  </cols>
  <sheetData>
    <row r="2" spans="1:10" ht="18.75" x14ac:dyDescent="0.3">
      <c r="A2" s="564" t="s">
        <v>582</v>
      </c>
      <c r="B2" s="564"/>
      <c r="C2" s="564"/>
      <c r="D2" s="564"/>
      <c r="E2" s="564"/>
      <c r="F2" s="564"/>
      <c r="G2" s="564"/>
      <c r="H2" s="564"/>
    </row>
    <row r="3" spans="1:10" ht="18.75" x14ac:dyDescent="0.3">
      <c r="A3" s="564" t="s">
        <v>583</v>
      </c>
      <c r="B3" s="564"/>
      <c r="C3" s="564"/>
      <c r="D3" s="564"/>
      <c r="E3" s="564"/>
      <c r="F3" s="564"/>
      <c r="G3" s="564"/>
      <c r="H3" s="564"/>
    </row>
    <row r="4" spans="1:10" x14ac:dyDescent="0.25">
      <c r="A4" s="64" t="s">
        <v>160</v>
      </c>
      <c r="B4" s="79">
        <v>1000</v>
      </c>
      <c r="C4" s="80" t="s">
        <v>292</v>
      </c>
      <c r="D4" s="80"/>
      <c r="E4" s="80"/>
      <c r="F4" s="80"/>
      <c r="G4" s="70"/>
      <c r="H4" s="3"/>
    </row>
    <row r="5" spans="1:10" x14ac:dyDescent="0.25">
      <c r="A5" s="64"/>
      <c r="B5" s="81"/>
      <c r="C5" s="70"/>
      <c r="D5" s="70"/>
      <c r="E5" s="70"/>
      <c r="F5" s="70"/>
      <c r="G5" s="70"/>
      <c r="H5" s="3"/>
    </row>
    <row r="6" spans="1:10" x14ac:dyDescent="0.25">
      <c r="A6" s="64" t="s">
        <v>294</v>
      </c>
      <c r="B6" s="82">
        <v>12</v>
      </c>
      <c r="C6" s="70"/>
      <c r="D6" s="82"/>
      <c r="E6" s="82"/>
      <c r="F6" s="70"/>
      <c r="G6" s="70"/>
      <c r="H6" s="3"/>
    </row>
    <row r="7" spans="1:10" x14ac:dyDescent="0.25">
      <c r="A7" s="64"/>
      <c r="B7" s="3"/>
      <c r="C7" s="82"/>
      <c r="D7" s="82"/>
      <c r="E7" s="82"/>
      <c r="F7" s="70"/>
      <c r="G7" s="70"/>
      <c r="H7" s="3"/>
    </row>
    <row r="8" spans="1:10" x14ac:dyDescent="0.2">
      <c r="A8" s="6" t="s">
        <v>127</v>
      </c>
      <c r="B8" s="7" t="s">
        <v>2</v>
      </c>
      <c r="C8" s="7" t="s">
        <v>3</v>
      </c>
      <c r="D8" s="7" t="s">
        <v>4</v>
      </c>
      <c r="E8" s="7" t="s">
        <v>5</v>
      </c>
      <c r="F8" s="7" t="s">
        <v>6</v>
      </c>
      <c r="G8" s="7" t="s">
        <v>168</v>
      </c>
      <c r="H8" s="7" t="s">
        <v>167</v>
      </c>
    </row>
    <row r="9" spans="1:10" x14ac:dyDescent="0.25">
      <c r="A9" s="8" t="s">
        <v>295</v>
      </c>
      <c r="B9" s="19">
        <v>0.8</v>
      </c>
      <c r="C9" s="19">
        <f>B9+5%</f>
        <v>0.85000000000000009</v>
      </c>
      <c r="D9" s="19">
        <f>C9+5%</f>
        <v>0.90000000000000013</v>
      </c>
      <c r="E9" s="19">
        <f>D9+5%</f>
        <v>0.95000000000000018</v>
      </c>
      <c r="F9" s="19">
        <f>E9+5%</f>
        <v>1.0000000000000002</v>
      </c>
      <c r="G9" s="19">
        <f>F9</f>
        <v>1.0000000000000002</v>
      </c>
      <c r="H9" s="19">
        <f>G9</f>
        <v>1.0000000000000002</v>
      </c>
    </row>
    <row r="10" spans="1:10" x14ac:dyDescent="0.25">
      <c r="A10" s="11" t="s">
        <v>314</v>
      </c>
      <c r="B10" s="69">
        <f t="shared" ref="B10:H10" si="0">$B$4*B9*$B$6</f>
        <v>9600</v>
      </c>
      <c r="C10" s="69">
        <f t="shared" si="0"/>
        <v>10200.000000000002</v>
      </c>
      <c r="D10" s="69">
        <f t="shared" si="0"/>
        <v>10800.000000000002</v>
      </c>
      <c r="E10" s="69">
        <f t="shared" si="0"/>
        <v>11400.000000000004</v>
      </c>
      <c r="F10" s="69">
        <f t="shared" si="0"/>
        <v>12000.000000000004</v>
      </c>
      <c r="G10" s="69">
        <f t="shared" si="0"/>
        <v>12000.000000000004</v>
      </c>
      <c r="H10" s="69">
        <f t="shared" si="0"/>
        <v>12000.000000000004</v>
      </c>
    </row>
    <row r="15" spans="1:10" ht="18.75" x14ac:dyDescent="0.3">
      <c r="A15" s="547" t="s">
        <v>584</v>
      </c>
      <c r="B15" s="547"/>
      <c r="C15" s="547"/>
      <c r="D15" s="547"/>
      <c r="E15" s="547"/>
      <c r="F15" s="547"/>
      <c r="G15" s="547"/>
      <c r="H15" s="547"/>
      <c r="I15" s="547"/>
      <c r="J15" s="547"/>
    </row>
    <row r="16" spans="1:10" x14ac:dyDescent="0.25">
      <c r="A16" s="83"/>
      <c r="B16" s="72"/>
      <c r="C16" s="84"/>
      <c r="D16" s="83"/>
      <c r="E16" s="83"/>
      <c r="F16" s="83"/>
      <c r="G16" s="83"/>
      <c r="H16" s="83"/>
    </row>
    <row r="17" spans="1:10" x14ac:dyDescent="0.25">
      <c r="A17" s="3"/>
      <c r="B17" s="3"/>
      <c r="C17" s="3"/>
      <c r="D17" s="4">
        <v>1</v>
      </c>
      <c r="E17" s="5">
        <f>(D17*5%)+D17</f>
        <v>1.05</v>
      </c>
      <c r="F17" s="5">
        <f t="shared" ref="F17:J17" si="1">(E17*5%)+E17</f>
        <v>1.1025</v>
      </c>
      <c r="G17" s="5">
        <f t="shared" si="1"/>
        <v>1.1576250000000001</v>
      </c>
      <c r="H17" s="5">
        <f t="shared" si="1"/>
        <v>1.2155062500000002</v>
      </c>
      <c r="I17" s="5">
        <f t="shared" si="1"/>
        <v>1.2762815625000004</v>
      </c>
      <c r="J17" s="5">
        <f t="shared" si="1"/>
        <v>1.3400956406250004</v>
      </c>
    </row>
    <row r="18" spans="1:10" x14ac:dyDescent="0.2">
      <c r="A18" s="6" t="s">
        <v>0</v>
      </c>
      <c r="B18" s="6" t="s">
        <v>131</v>
      </c>
      <c r="C18" s="6" t="s">
        <v>151</v>
      </c>
      <c r="D18" s="7" t="s">
        <v>2</v>
      </c>
      <c r="E18" s="7" t="s">
        <v>3</v>
      </c>
      <c r="F18" s="7" t="s">
        <v>4</v>
      </c>
      <c r="G18" s="7" t="s">
        <v>5</v>
      </c>
      <c r="H18" s="7" t="s">
        <v>6</v>
      </c>
      <c r="I18" s="7" t="s">
        <v>168</v>
      </c>
      <c r="J18" s="7" t="s">
        <v>167</v>
      </c>
    </row>
    <row r="19" spans="1:10" x14ac:dyDescent="0.25">
      <c r="A19" s="8"/>
      <c r="B19" s="8"/>
      <c r="C19" s="8"/>
      <c r="D19" s="8"/>
      <c r="E19" s="8"/>
      <c r="F19" s="8"/>
      <c r="G19" s="8"/>
      <c r="H19" s="8"/>
      <c r="I19" s="8"/>
      <c r="J19" s="8"/>
    </row>
    <row r="20" spans="1:10" x14ac:dyDescent="0.25">
      <c r="A20" s="11" t="s">
        <v>176</v>
      </c>
      <c r="B20" s="11"/>
      <c r="C20" s="11"/>
      <c r="D20" s="8"/>
      <c r="E20" s="8"/>
      <c r="F20" s="8"/>
      <c r="G20" s="8"/>
      <c r="H20" s="8"/>
      <c r="I20" s="8"/>
      <c r="J20" s="8"/>
    </row>
    <row r="21" spans="1:10" x14ac:dyDescent="0.25">
      <c r="A21" s="8" t="s">
        <v>316</v>
      </c>
      <c r="B21" s="8"/>
      <c r="C21" s="9">
        <v>150</v>
      </c>
      <c r="D21" s="10">
        <f t="shared" ref="D21:J21" si="2">B10*$C$21*D17</f>
        <v>1440000</v>
      </c>
      <c r="E21" s="10">
        <f t="shared" si="2"/>
        <v>1606500.0000000002</v>
      </c>
      <c r="F21" s="10">
        <f t="shared" si="2"/>
        <v>1786050.0000000002</v>
      </c>
      <c r="G21" s="10">
        <f t="shared" si="2"/>
        <v>1979538.7500000007</v>
      </c>
      <c r="H21" s="10">
        <f t="shared" si="2"/>
        <v>2187911.2500000009</v>
      </c>
      <c r="I21" s="10">
        <f t="shared" si="2"/>
        <v>2297306.8125000014</v>
      </c>
      <c r="J21" s="10">
        <f t="shared" si="2"/>
        <v>2412172.1531250016</v>
      </c>
    </row>
    <row r="22" spans="1:10" x14ac:dyDescent="0.25">
      <c r="A22" s="8"/>
      <c r="B22" s="8"/>
      <c r="C22" s="10"/>
      <c r="D22" s="10"/>
      <c r="E22" s="10"/>
      <c r="F22" s="10"/>
      <c r="G22" s="10"/>
      <c r="H22" s="10"/>
      <c r="I22" s="10"/>
      <c r="J22" s="10"/>
    </row>
    <row r="23" spans="1:10" x14ac:dyDescent="0.25">
      <c r="A23" s="11" t="s">
        <v>142</v>
      </c>
      <c r="B23" s="11"/>
      <c r="C23" s="12"/>
      <c r="D23" s="10">
        <f t="shared" ref="D23:J23" si="3">SUM(D21:D21)</f>
        <v>1440000</v>
      </c>
      <c r="E23" s="10">
        <f t="shared" si="3"/>
        <v>1606500.0000000002</v>
      </c>
      <c r="F23" s="10">
        <f t="shared" si="3"/>
        <v>1786050.0000000002</v>
      </c>
      <c r="G23" s="10">
        <f t="shared" si="3"/>
        <v>1979538.7500000007</v>
      </c>
      <c r="H23" s="10">
        <f t="shared" si="3"/>
        <v>2187911.2500000009</v>
      </c>
      <c r="I23" s="10">
        <f t="shared" si="3"/>
        <v>2297306.8125000014</v>
      </c>
      <c r="J23" s="10">
        <f t="shared" si="3"/>
        <v>2412172.1531250016</v>
      </c>
    </row>
    <row r="24" spans="1:10" x14ac:dyDescent="0.25">
      <c r="A24" s="8"/>
      <c r="B24" s="8"/>
      <c r="C24" s="10"/>
      <c r="D24" s="10"/>
      <c r="E24" s="10"/>
      <c r="F24" s="10"/>
      <c r="G24" s="10"/>
      <c r="H24" s="10"/>
      <c r="I24" s="10"/>
      <c r="J24" s="10"/>
    </row>
    <row r="25" spans="1:10" x14ac:dyDescent="0.25">
      <c r="A25" s="11" t="s">
        <v>141</v>
      </c>
      <c r="B25" s="11"/>
      <c r="C25" s="10"/>
      <c r="D25" s="10"/>
      <c r="E25" s="10"/>
      <c r="F25" s="10"/>
      <c r="G25" s="10"/>
      <c r="H25" s="10"/>
      <c r="I25" s="10"/>
      <c r="J25" s="10"/>
    </row>
    <row r="26" spans="1:10" x14ac:dyDescent="0.25">
      <c r="A26" s="11" t="s">
        <v>305</v>
      </c>
      <c r="B26" s="11"/>
      <c r="C26" s="10"/>
      <c r="D26" s="10"/>
      <c r="E26" s="10"/>
      <c r="F26" s="10"/>
      <c r="G26" s="10"/>
      <c r="H26" s="10"/>
      <c r="I26" s="10"/>
      <c r="J26" s="10"/>
    </row>
    <row r="27" spans="1:10" x14ac:dyDescent="0.25">
      <c r="A27" s="8" t="s">
        <v>296</v>
      </c>
      <c r="B27" s="1" t="s">
        <v>292</v>
      </c>
      <c r="C27" s="9">
        <v>10</v>
      </c>
      <c r="D27" s="10">
        <f t="shared" ref="D27:J27" si="4">$B$4*$C$27*D17*4</f>
        <v>40000</v>
      </c>
      <c r="E27" s="10">
        <f t="shared" si="4"/>
        <v>42000</v>
      </c>
      <c r="F27" s="10">
        <f t="shared" si="4"/>
        <v>44100</v>
      </c>
      <c r="G27" s="10">
        <f t="shared" si="4"/>
        <v>46305.000000000007</v>
      </c>
      <c r="H27" s="10">
        <f t="shared" si="4"/>
        <v>48620.250000000007</v>
      </c>
      <c r="I27" s="10">
        <f t="shared" si="4"/>
        <v>51051.262500000012</v>
      </c>
      <c r="J27" s="10">
        <f t="shared" si="4"/>
        <v>53603.825625000019</v>
      </c>
    </row>
    <row r="28" spans="1:10" x14ac:dyDescent="0.25">
      <c r="A28" s="8" t="s">
        <v>297</v>
      </c>
      <c r="B28" s="1" t="s">
        <v>292</v>
      </c>
      <c r="C28" s="9">
        <v>10</v>
      </c>
      <c r="D28" s="10">
        <f t="shared" ref="D28:J28" si="5">$B$4*$C$28*D17*12</f>
        <v>120000</v>
      </c>
      <c r="E28" s="10">
        <f t="shared" si="5"/>
        <v>126000</v>
      </c>
      <c r="F28" s="10">
        <f t="shared" si="5"/>
        <v>132300</v>
      </c>
      <c r="G28" s="10">
        <f t="shared" si="5"/>
        <v>138915.00000000003</v>
      </c>
      <c r="H28" s="10">
        <f t="shared" si="5"/>
        <v>145860.75000000003</v>
      </c>
      <c r="I28" s="10">
        <f t="shared" si="5"/>
        <v>153153.78750000003</v>
      </c>
      <c r="J28" s="10">
        <f t="shared" si="5"/>
        <v>160811.47687500005</v>
      </c>
    </row>
    <row r="29" spans="1:10" x14ac:dyDescent="0.25">
      <c r="A29" s="8" t="s">
        <v>298</v>
      </c>
      <c r="B29" s="1"/>
      <c r="C29" s="9">
        <f>B4*5</f>
        <v>5000</v>
      </c>
      <c r="D29" s="10">
        <f>$C$29*12*D17</f>
        <v>60000</v>
      </c>
      <c r="E29" s="10">
        <f t="shared" ref="E29:J29" si="6">$C$29*12*E17</f>
        <v>63000</v>
      </c>
      <c r="F29" s="10">
        <f t="shared" si="6"/>
        <v>66150</v>
      </c>
      <c r="G29" s="10">
        <f t="shared" si="6"/>
        <v>69457.500000000015</v>
      </c>
      <c r="H29" s="10">
        <f t="shared" si="6"/>
        <v>72930.375000000015</v>
      </c>
      <c r="I29" s="10">
        <f t="shared" si="6"/>
        <v>76576.893750000017</v>
      </c>
      <c r="J29" s="10">
        <f t="shared" si="6"/>
        <v>80405.738437500026</v>
      </c>
    </row>
    <row r="30" spans="1:10" x14ac:dyDescent="0.25">
      <c r="A30" s="8"/>
      <c r="B30" s="1"/>
      <c r="C30" s="9"/>
      <c r="D30" s="10"/>
      <c r="E30" s="10"/>
      <c r="F30" s="10"/>
      <c r="G30" s="10"/>
      <c r="H30" s="10"/>
      <c r="I30" s="10"/>
      <c r="J30" s="10"/>
    </row>
    <row r="31" spans="1:10" x14ac:dyDescent="0.25">
      <c r="A31" s="8"/>
      <c r="B31" s="1"/>
      <c r="C31" s="9"/>
      <c r="D31" s="10"/>
      <c r="E31" s="10"/>
      <c r="F31" s="10"/>
      <c r="G31" s="10"/>
      <c r="H31" s="10"/>
      <c r="I31" s="10"/>
      <c r="J31" s="10"/>
    </row>
    <row r="32" spans="1:10" x14ac:dyDescent="0.25">
      <c r="A32" s="8"/>
      <c r="B32" s="1"/>
      <c r="C32" s="9"/>
      <c r="D32" s="10"/>
      <c r="E32" s="10"/>
      <c r="F32" s="10"/>
      <c r="G32" s="10"/>
      <c r="H32" s="10"/>
      <c r="I32" s="10"/>
      <c r="J32" s="10"/>
    </row>
    <row r="33" spans="1:10" x14ac:dyDescent="0.25">
      <c r="A33" s="8"/>
      <c r="B33" s="1"/>
      <c r="C33" s="9"/>
      <c r="D33" s="10"/>
      <c r="E33" s="10"/>
      <c r="F33" s="10"/>
      <c r="G33" s="10"/>
      <c r="H33" s="10"/>
      <c r="I33" s="10"/>
      <c r="J33" s="10"/>
    </row>
    <row r="34" spans="1:10" x14ac:dyDescent="0.2">
      <c r="A34" s="11" t="s">
        <v>313</v>
      </c>
      <c r="B34" s="2"/>
      <c r="C34" s="65"/>
      <c r="D34" s="12">
        <f>SUM(D27:D33)</f>
        <v>220000</v>
      </c>
      <c r="E34" s="12">
        <f t="shared" ref="E34:J34" si="7">SUM(E27:E33)</f>
        <v>231000</v>
      </c>
      <c r="F34" s="12">
        <f t="shared" si="7"/>
        <v>242550</v>
      </c>
      <c r="G34" s="12">
        <f t="shared" si="7"/>
        <v>254677.50000000006</v>
      </c>
      <c r="H34" s="12">
        <f t="shared" si="7"/>
        <v>267411.37500000006</v>
      </c>
      <c r="I34" s="12">
        <f t="shared" si="7"/>
        <v>280781.94375000009</v>
      </c>
      <c r="J34" s="12">
        <f t="shared" si="7"/>
        <v>294821.04093750007</v>
      </c>
    </row>
    <row r="35" spans="1:10" x14ac:dyDescent="0.2">
      <c r="A35" s="11"/>
      <c r="B35" s="2"/>
      <c r="C35" s="65"/>
      <c r="D35" s="12"/>
      <c r="E35" s="12"/>
      <c r="F35" s="12"/>
      <c r="G35" s="12"/>
      <c r="H35" s="12"/>
      <c r="I35" s="12"/>
      <c r="J35" s="12"/>
    </row>
    <row r="36" spans="1:10" x14ac:dyDescent="0.25">
      <c r="A36" s="11" t="s">
        <v>303</v>
      </c>
      <c r="B36" s="1"/>
      <c r="C36" s="9"/>
      <c r="D36" s="10"/>
      <c r="E36" s="10"/>
      <c r="F36" s="10"/>
      <c r="G36" s="10"/>
      <c r="H36" s="10"/>
      <c r="I36" s="10"/>
      <c r="J36" s="10"/>
    </row>
    <row r="37" spans="1:10" x14ac:dyDescent="0.25">
      <c r="A37" s="8" t="s">
        <v>315</v>
      </c>
      <c r="B37" s="1">
        <v>1</v>
      </c>
      <c r="C37" s="9">
        <v>20000</v>
      </c>
      <c r="D37" s="10">
        <f>$B$37*$C$37*D17*12</f>
        <v>240000</v>
      </c>
      <c r="E37" s="10">
        <f t="shared" ref="E37:J37" si="8">$B$37*$C$37*E17*12</f>
        <v>252000</v>
      </c>
      <c r="F37" s="10">
        <f t="shared" si="8"/>
        <v>264600</v>
      </c>
      <c r="G37" s="10">
        <f t="shared" si="8"/>
        <v>277830.00000000006</v>
      </c>
      <c r="H37" s="10">
        <f t="shared" si="8"/>
        <v>291721.50000000006</v>
      </c>
      <c r="I37" s="10">
        <f t="shared" si="8"/>
        <v>306307.57500000007</v>
      </c>
      <c r="J37" s="10">
        <f t="shared" si="8"/>
        <v>321622.9537500001</v>
      </c>
    </row>
    <row r="38" spans="1:10" x14ac:dyDescent="0.25">
      <c r="A38" s="8"/>
      <c r="B38" s="1"/>
      <c r="C38" s="9"/>
      <c r="D38" s="10"/>
      <c r="E38" s="10"/>
      <c r="F38" s="10"/>
      <c r="G38" s="10"/>
      <c r="H38" s="10"/>
      <c r="I38" s="10"/>
      <c r="J38" s="10"/>
    </row>
    <row r="39" spans="1:10" x14ac:dyDescent="0.25">
      <c r="A39" s="8"/>
      <c r="B39" s="1"/>
      <c r="C39" s="9"/>
      <c r="D39" s="10"/>
      <c r="E39" s="10"/>
      <c r="F39" s="10"/>
      <c r="G39" s="10"/>
      <c r="H39" s="10"/>
      <c r="I39" s="10"/>
      <c r="J39" s="10"/>
    </row>
    <row r="40" spans="1:10" x14ac:dyDescent="0.25">
      <c r="A40" s="8"/>
      <c r="B40" s="1"/>
      <c r="C40" s="9"/>
      <c r="D40" s="10"/>
      <c r="E40" s="10"/>
      <c r="F40" s="10"/>
      <c r="G40" s="10"/>
      <c r="H40" s="10"/>
      <c r="I40" s="10"/>
      <c r="J40" s="10"/>
    </row>
    <row r="41" spans="1:10" x14ac:dyDescent="0.25">
      <c r="A41" s="8"/>
      <c r="B41" s="1"/>
      <c r="C41" s="9"/>
      <c r="D41" s="10"/>
      <c r="E41" s="10"/>
      <c r="F41" s="10"/>
      <c r="G41" s="10"/>
      <c r="H41" s="10"/>
      <c r="I41" s="10"/>
      <c r="J41" s="10"/>
    </row>
    <row r="42" spans="1:10" x14ac:dyDescent="0.25">
      <c r="A42" s="8"/>
      <c r="B42" s="1"/>
      <c r="C42" s="9"/>
      <c r="D42" s="10"/>
      <c r="E42" s="10"/>
      <c r="F42" s="10"/>
      <c r="G42" s="10"/>
      <c r="H42" s="10"/>
      <c r="I42" s="10"/>
      <c r="J42" s="10"/>
    </row>
    <row r="43" spans="1:10" x14ac:dyDescent="0.2">
      <c r="A43" s="11" t="s">
        <v>317</v>
      </c>
      <c r="B43" s="11"/>
      <c r="C43" s="12"/>
      <c r="D43" s="12">
        <f>SUM(D37:D42)</f>
        <v>240000</v>
      </c>
      <c r="E43" s="12">
        <f t="shared" ref="E43:J43" si="9">SUM(E37:E42)</f>
        <v>252000</v>
      </c>
      <c r="F43" s="12">
        <f t="shared" si="9"/>
        <v>264600</v>
      </c>
      <c r="G43" s="12">
        <f t="shared" si="9"/>
        <v>277830.00000000006</v>
      </c>
      <c r="H43" s="12">
        <f t="shared" si="9"/>
        <v>291721.50000000006</v>
      </c>
      <c r="I43" s="12">
        <f t="shared" si="9"/>
        <v>306307.57500000007</v>
      </c>
      <c r="J43" s="12">
        <f t="shared" si="9"/>
        <v>321622.9537500001</v>
      </c>
    </row>
    <row r="44" spans="1:10" x14ac:dyDescent="0.2">
      <c r="A44" s="11"/>
      <c r="B44" s="11"/>
      <c r="C44" s="12"/>
      <c r="D44" s="12"/>
      <c r="E44" s="12"/>
      <c r="F44" s="12"/>
      <c r="G44" s="12"/>
      <c r="H44" s="12"/>
      <c r="I44" s="12"/>
      <c r="J44" s="12"/>
    </row>
    <row r="45" spans="1:10" x14ac:dyDescent="0.2">
      <c r="A45" s="11" t="s">
        <v>129</v>
      </c>
      <c r="B45" s="11"/>
      <c r="C45" s="12"/>
      <c r="D45" s="12">
        <f>D34+D43</f>
        <v>460000</v>
      </c>
      <c r="E45" s="12">
        <f t="shared" ref="E45:J45" si="10">E34+E43</f>
        <v>483000</v>
      </c>
      <c r="F45" s="12">
        <f t="shared" si="10"/>
        <v>507150</v>
      </c>
      <c r="G45" s="12">
        <f t="shared" si="10"/>
        <v>532507.50000000012</v>
      </c>
      <c r="H45" s="12">
        <f t="shared" si="10"/>
        <v>559132.87500000012</v>
      </c>
      <c r="I45" s="12">
        <f t="shared" si="10"/>
        <v>587089.51875000016</v>
      </c>
      <c r="J45" s="12">
        <f t="shared" si="10"/>
        <v>616443.99468750018</v>
      </c>
    </row>
    <row r="46" spans="1:10" x14ac:dyDescent="0.25">
      <c r="A46" s="8"/>
      <c r="B46" s="8"/>
      <c r="C46" s="10"/>
      <c r="D46" s="10"/>
      <c r="E46" s="10"/>
      <c r="F46" s="10"/>
      <c r="G46" s="10"/>
      <c r="H46" s="10"/>
      <c r="I46" s="10"/>
      <c r="J46" s="10"/>
    </row>
    <row r="47" spans="1:10" x14ac:dyDescent="0.2">
      <c r="A47" s="11" t="s">
        <v>128</v>
      </c>
      <c r="B47" s="11"/>
      <c r="C47" s="12"/>
      <c r="D47" s="12">
        <f t="shared" ref="D47:J47" si="11">D23-D45</f>
        <v>980000</v>
      </c>
      <c r="E47" s="12">
        <f t="shared" si="11"/>
        <v>1123500.0000000002</v>
      </c>
      <c r="F47" s="12">
        <f t="shared" si="11"/>
        <v>1278900.0000000002</v>
      </c>
      <c r="G47" s="12">
        <f t="shared" si="11"/>
        <v>1447031.2500000005</v>
      </c>
      <c r="H47" s="12">
        <f t="shared" si="11"/>
        <v>1628778.3750000009</v>
      </c>
      <c r="I47" s="12">
        <f t="shared" si="11"/>
        <v>1710217.2937500011</v>
      </c>
      <c r="J47" s="12">
        <f t="shared" si="11"/>
        <v>1795728.1584375014</v>
      </c>
    </row>
    <row r="48" spans="1:10" x14ac:dyDescent="0.25">
      <c r="A48" s="3"/>
      <c r="B48" s="3"/>
      <c r="C48" s="3"/>
      <c r="D48" s="3"/>
      <c r="E48" s="3"/>
      <c r="F48" s="3"/>
      <c r="G48" s="3"/>
      <c r="H48" s="3"/>
      <c r="I48" s="3"/>
      <c r="J48" s="3"/>
    </row>
    <row r="49" spans="1:10" x14ac:dyDescent="0.25">
      <c r="A49" s="3"/>
    </row>
    <row r="51" spans="1:10" x14ac:dyDescent="0.25">
      <c r="A51" s="563" t="s">
        <v>414</v>
      </c>
      <c r="B51" s="563"/>
      <c r="C51" s="563"/>
      <c r="D51" s="563"/>
      <c r="E51" s="563"/>
      <c r="F51" s="563"/>
      <c r="G51" s="563"/>
      <c r="H51" s="563"/>
      <c r="I51" s="563"/>
      <c r="J51" s="563"/>
    </row>
    <row r="53" spans="1:10" x14ac:dyDescent="0.25">
      <c r="A53" t="s">
        <v>530</v>
      </c>
    </row>
    <row r="54" spans="1:10" x14ac:dyDescent="0.25">
      <c r="A54">
        <v>1</v>
      </c>
      <c r="B54" t="s">
        <v>543</v>
      </c>
    </row>
    <row r="55" spans="1:10" x14ac:dyDescent="0.25">
      <c r="A55">
        <v>2</v>
      </c>
      <c r="B55" t="s">
        <v>544</v>
      </c>
    </row>
    <row r="56" spans="1:10" x14ac:dyDescent="0.25">
      <c r="A56">
        <v>3</v>
      </c>
      <c r="B56" s="3" t="s">
        <v>595</v>
      </c>
    </row>
  </sheetData>
  <mergeCells count="4">
    <mergeCell ref="A15:J15"/>
    <mergeCell ref="A51:J51"/>
    <mergeCell ref="A2:H2"/>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60" zoomScaleNormal="80" workbookViewId="0">
      <selection activeCell="B1" sqref="B1"/>
    </sheetView>
  </sheetViews>
  <sheetFormatPr defaultColWidth="10" defaultRowHeight="15" x14ac:dyDescent="0.25"/>
  <cols>
    <col min="1" max="2" width="29.42578125" customWidth="1"/>
    <col min="3" max="3" width="12.28515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28515625" customWidth="1"/>
    <col min="13" max="13" width="16" customWidth="1"/>
    <col min="14" max="14" width="23.28515625" customWidth="1"/>
    <col min="18" max="18" width="12.7109375" customWidth="1"/>
  </cols>
  <sheetData>
    <row r="3" spans="1:13" ht="18.75" x14ac:dyDescent="0.3">
      <c r="A3" s="565" t="s">
        <v>585</v>
      </c>
      <c r="B3" s="547"/>
      <c r="C3" s="547"/>
      <c r="D3" s="547"/>
      <c r="E3" s="547"/>
      <c r="F3" s="547"/>
      <c r="G3" s="547"/>
      <c r="H3" s="547"/>
      <c r="I3" s="547"/>
      <c r="J3" s="547"/>
      <c r="K3" s="547"/>
      <c r="L3" s="547"/>
    </row>
    <row r="4" spans="1:13" ht="18.75" x14ac:dyDescent="0.3">
      <c r="A4" s="547" t="s">
        <v>586</v>
      </c>
      <c r="B4" s="547"/>
      <c r="C4" s="547"/>
      <c r="D4" s="547"/>
      <c r="E4" s="547"/>
      <c r="F4" s="547"/>
      <c r="G4" s="547"/>
      <c r="H4" s="547"/>
      <c r="I4" s="547"/>
      <c r="J4" s="547"/>
      <c r="K4" s="547"/>
      <c r="L4" s="547"/>
    </row>
    <row r="5" spans="1:13" x14ac:dyDescent="0.25">
      <c r="A5" s="3"/>
      <c r="B5" s="3"/>
      <c r="C5" s="3"/>
    </row>
    <row r="6" spans="1:13" x14ac:dyDescent="0.25">
      <c r="A6" s="3"/>
      <c r="B6" s="3"/>
      <c r="C6" s="3"/>
    </row>
    <row r="7" spans="1:13" ht="45" x14ac:dyDescent="0.25">
      <c r="A7" s="28" t="s">
        <v>144</v>
      </c>
      <c r="B7" s="42" t="s">
        <v>422</v>
      </c>
      <c r="C7" s="42" t="s">
        <v>425</v>
      </c>
      <c r="D7" s="42" t="s">
        <v>423</v>
      </c>
      <c r="E7" s="42" t="s">
        <v>424</v>
      </c>
      <c r="F7" s="42" t="s">
        <v>299</v>
      </c>
      <c r="G7" s="42" t="s">
        <v>426</v>
      </c>
      <c r="H7" s="42" t="s">
        <v>427</v>
      </c>
      <c r="I7" s="42" t="s">
        <v>428</v>
      </c>
      <c r="J7" s="85" t="s">
        <v>431</v>
      </c>
      <c r="K7" s="42" t="s">
        <v>429</v>
      </c>
      <c r="L7" s="85" t="s">
        <v>430</v>
      </c>
      <c r="M7" s="42" t="s">
        <v>433</v>
      </c>
    </row>
    <row r="8" spans="1:13" x14ac:dyDescent="0.25">
      <c r="A8" s="86">
        <v>1</v>
      </c>
      <c r="B8" s="101"/>
      <c r="C8" s="31"/>
      <c r="D8" s="31"/>
      <c r="E8" s="31"/>
      <c r="F8" s="48">
        <f>D8*E8*C8</f>
        <v>0</v>
      </c>
      <c r="G8" s="31">
        <v>2</v>
      </c>
      <c r="H8" s="48">
        <f>F8/G8</f>
        <v>0</v>
      </c>
      <c r="I8" s="31">
        <v>4</v>
      </c>
      <c r="J8" s="48">
        <f>H8*I8</f>
        <v>0</v>
      </c>
      <c r="K8" s="31">
        <v>3200</v>
      </c>
      <c r="L8" s="31">
        <v>1</v>
      </c>
      <c r="M8" s="48">
        <f t="shared" ref="M8:M17" si="0">D8*L8</f>
        <v>0</v>
      </c>
    </row>
    <row r="9" spans="1:13" x14ac:dyDescent="0.25">
      <c r="A9" s="86">
        <v>2</v>
      </c>
      <c r="B9" s="31"/>
      <c r="C9" s="31"/>
      <c r="D9" s="31"/>
      <c r="E9" s="31"/>
      <c r="F9" s="48">
        <f t="shared" ref="F9:F17" si="1">D9*E9*C9</f>
        <v>0</v>
      </c>
      <c r="G9" s="31">
        <v>2</v>
      </c>
      <c r="H9" s="48">
        <f>F9/G9</f>
        <v>0</v>
      </c>
      <c r="I9" s="31">
        <v>4</v>
      </c>
      <c r="J9" s="48">
        <f t="shared" ref="J9:J17" si="2">H9*I9</f>
        <v>0</v>
      </c>
      <c r="K9" s="31">
        <v>3200</v>
      </c>
      <c r="L9" s="31">
        <v>1</v>
      </c>
      <c r="M9" s="48">
        <f t="shared" si="0"/>
        <v>0</v>
      </c>
    </row>
    <row r="10" spans="1:13" x14ac:dyDescent="0.25">
      <c r="A10" s="86">
        <v>3</v>
      </c>
      <c r="B10" s="31"/>
      <c r="C10" s="31"/>
      <c r="D10" s="31"/>
      <c r="E10" s="31"/>
      <c r="F10" s="48">
        <f t="shared" si="1"/>
        <v>0</v>
      </c>
      <c r="G10" s="31">
        <v>2</v>
      </c>
      <c r="H10" s="48">
        <f>F10/G10</f>
        <v>0</v>
      </c>
      <c r="I10" s="31">
        <v>4</v>
      </c>
      <c r="J10" s="48">
        <f t="shared" si="2"/>
        <v>0</v>
      </c>
      <c r="K10" s="31">
        <v>3600</v>
      </c>
      <c r="L10" s="31">
        <v>1</v>
      </c>
      <c r="M10" s="48">
        <f t="shared" si="0"/>
        <v>0</v>
      </c>
    </row>
    <row r="11" spans="1:13" x14ac:dyDescent="0.25">
      <c r="A11" s="86">
        <v>4</v>
      </c>
      <c r="B11" s="31"/>
      <c r="C11" s="31"/>
      <c r="D11" s="31"/>
      <c r="E11" s="31"/>
      <c r="F11" s="48">
        <f t="shared" si="1"/>
        <v>0</v>
      </c>
      <c r="G11" s="31">
        <v>2</v>
      </c>
      <c r="H11" s="48">
        <f>F11/G11</f>
        <v>0</v>
      </c>
      <c r="I11" s="31">
        <v>2</v>
      </c>
      <c r="J11" s="48">
        <f t="shared" si="2"/>
        <v>0</v>
      </c>
      <c r="K11" s="31">
        <v>1500</v>
      </c>
      <c r="L11" s="31">
        <v>1</v>
      </c>
      <c r="M11" s="48">
        <f t="shared" si="0"/>
        <v>0</v>
      </c>
    </row>
    <row r="12" spans="1:13" x14ac:dyDescent="0.25">
      <c r="A12" s="86">
        <v>5</v>
      </c>
      <c r="B12" s="31"/>
      <c r="C12" s="31"/>
      <c r="D12" s="31"/>
      <c r="E12" s="31"/>
      <c r="F12" s="48">
        <f t="shared" si="1"/>
        <v>0</v>
      </c>
      <c r="G12" s="31">
        <v>2</v>
      </c>
      <c r="H12" s="48">
        <f>F12/G12</f>
        <v>0</v>
      </c>
      <c r="I12" s="31">
        <v>10</v>
      </c>
      <c r="J12" s="48">
        <f t="shared" si="2"/>
        <v>0</v>
      </c>
      <c r="K12" s="31">
        <v>3000</v>
      </c>
      <c r="L12" s="31">
        <v>1</v>
      </c>
      <c r="M12" s="48">
        <f t="shared" si="0"/>
        <v>0</v>
      </c>
    </row>
    <row r="13" spans="1:13" x14ac:dyDescent="0.25">
      <c r="A13" s="86">
        <v>6</v>
      </c>
      <c r="B13" s="18"/>
      <c r="C13" s="18"/>
      <c r="D13" s="18"/>
      <c r="E13" s="18"/>
      <c r="F13" s="48">
        <f t="shared" si="1"/>
        <v>0</v>
      </c>
      <c r="G13" s="18">
        <v>0</v>
      </c>
      <c r="H13" s="31"/>
      <c r="I13" s="18"/>
      <c r="J13" s="48">
        <f t="shared" si="2"/>
        <v>0</v>
      </c>
      <c r="K13" s="18"/>
      <c r="L13" s="48"/>
      <c r="M13" s="48">
        <f t="shared" si="0"/>
        <v>0</v>
      </c>
    </row>
    <row r="14" spans="1:13" x14ac:dyDescent="0.25">
      <c r="A14" s="86">
        <v>7</v>
      </c>
      <c r="B14" s="18"/>
      <c r="C14" s="18"/>
      <c r="D14" s="18"/>
      <c r="E14" s="18"/>
      <c r="F14" s="48">
        <f t="shared" si="1"/>
        <v>0</v>
      </c>
      <c r="G14" s="18">
        <v>0</v>
      </c>
      <c r="H14" s="31"/>
      <c r="I14" s="18"/>
      <c r="J14" s="48">
        <f t="shared" si="2"/>
        <v>0</v>
      </c>
      <c r="K14" s="18"/>
      <c r="L14" s="48"/>
      <c r="M14" s="48">
        <f t="shared" si="0"/>
        <v>0</v>
      </c>
    </row>
    <row r="15" spans="1:13" x14ac:dyDescent="0.25">
      <c r="A15" s="86">
        <v>8</v>
      </c>
      <c r="B15" s="18"/>
      <c r="C15" s="18"/>
      <c r="D15" s="18"/>
      <c r="E15" s="18"/>
      <c r="F15" s="48">
        <f t="shared" si="1"/>
        <v>0</v>
      </c>
      <c r="G15" s="18">
        <v>0</v>
      </c>
      <c r="H15" s="31"/>
      <c r="I15" s="18"/>
      <c r="J15" s="48">
        <f t="shared" si="2"/>
        <v>0</v>
      </c>
      <c r="K15" s="18"/>
      <c r="L15" s="48"/>
      <c r="M15" s="48">
        <f t="shared" si="0"/>
        <v>0</v>
      </c>
    </row>
    <row r="16" spans="1:13" x14ac:dyDescent="0.25">
      <c r="A16" s="86">
        <v>9</v>
      </c>
      <c r="B16" s="18"/>
      <c r="C16" s="18"/>
      <c r="D16" s="18"/>
      <c r="E16" s="18"/>
      <c r="F16" s="48">
        <f t="shared" si="1"/>
        <v>0</v>
      </c>
      <c r="G16" s="18">
        <v>0</v>
      </c>
      <c r="H16" s="31"/>
      <c r="I16" s="18"/>
      <c r="J16" s="48">
        <f t="shared" si="2"/>
        <v>0</v>
      </c>
      <c r="K16" s="18"/>
      <c r="L16" s="48"/>
      <c r="M16" s="48">
        <f t="shared" si="0"/>
        <v>0</v>
      </c>
    </row>
    <row r="17" spans="1:16" x14ac:dyDescent="0.25">
      <c r="A17" s="86">
        <v>10</v>
      </c>
      <c r="B17" s="18"/>
      <c r="C17" s="18"/>
      <c r="D17" s="18"/>
      <c r="E17" s="18"/>
      <c r="F17" s="48">
        <f t="shared" si="1"/>
        <v>0</v>
      </c>
      <c r="G17" s="18">
        <v>0</v>
      </c>
      <c r="H17" s="31"/>
      <c r="I17" s="18"/>
      <c r="J17" s="48">
        <f t="shared" si="2"/>
        <v>0</v>
      </c>
      <c r="K17" s="18"/>
      <c r="L17" s="48"/>
      <c r="M17" s="48">
        <f t="shared" si="0"/>
        <v>0</v>
      </c>
    </row>
    <row r="18" spans="1:16" x14ac:dyDescent="0.25">
      <c r="A18" s="15"/>
      <c r="B18" s="15"/>
      <c r="C18" s="54"/>
      <c r="D18" s="54"/>
      <c r="E18" s="54"/>
      <c r="F18" s="54"/>
      <c r="G18" s="54"/>
      <c r="H18" s="54"/>
      <c r="I18" s="54"/>
      <c r="J18" s="54"/>
      <c r="K18" s="54"/>
      <c r="L18" s="54"/>
      <c r="M18" s="87"/>
    </row>
    <row r="19" spans="1:16" x14ac:dyDescent="0.25">
      <c r="A19" s="15"/>
      <c r="B19" s="15"/>
      <c r="C19" s="54"/>
      <c r="D19" s="54"/>
      <c r="E19" s="54"/>
      <c r="F19" s="54"/>
      <c r="G19" s="54"/>
      <c r="H19" s="54"/>
      <c r="I19" s="54"/>
      <c r="J19" s="54"/>
      <c r="K19" s="54"/>
      <c r="L19" s="54"/>
      <c r="M19" s="87"/>
    </row>
    <row r="21" spans="1:16" ht="18.75" x14ac:dyDescent="0.3">
      <c r="A21" s="547" t="s">
        <v>587</v>
      </c>
      <c r="B21" s="547"/>
      <c r="C21" s="547"/>
      <c r="D21" s="547"/>
      <c r="E21" s="547"/>
      <c r="F21" s="547"/>
      <c r="G21" s="547"/>
      <c r="H21" s="547"/>
      <c r="I21" s="547"/>
      <c r="J21" s="547"/>
      <c r="K21" s="547"/>
    </row>
    <row r="23" spans="1:16" x14ac:dyDescent="0.25">
      <c r="A23" s="3"/>
      <c r="B23" s="3"/>
      <c r="C23" s="3"/>
      <c r="D23" s="3"/>
      <c r="E23" s="4">
        <v>1</v>
      </c>
      <c r="F23" s="5">
        <f>(E23*5%)+E23</f>
        <v>1.05</v>
      </c>
      <c r="G23" s="5">
        <f t="shared" ref="G23:K23" si="3">(F23*5%)+F23</f>
        <v>1.1025</v>
      </c>
      <c r="H23" s="5">
        <f t="shared" si="3"/>
        <v>1.1576250000000001</v>
      </c>
      <c r="I23" s="5">
        <f t="shared" si="3"/>
        <v>1.2155062500000002</v>
      </c>
      <c r="J23" s="5">
        <f t="shared" si="3"/>
        <v>1.2762815625000004</v>
      </c>
      <c r="K23" s="5">
        <f t="shared" si="3"/>
        <v>1.3400956406250004</v>
      </c>
    </row>
    <row r="24" spans="1:16" x14ac:dyDescent="0.2">
      <c r="A24" s="6" t="s">
        <v>0</v>
      </c>
      <c r="B24" s="6" t="s">
        <v>131</v>
      </c>
      <c r="C24" s="6" t="s">
        <v>145</v>
      </c>
      <c r="D24" s="6" t="s">
        <v>151</v>
      </c>
      <c r="E24" s="7" t="s">
        <v>2</v>
      </c>
      <c r="F24" s="7" t="s">
        <v>3</v>
      </c>
      <c r="G24" s="7" t="s">
        <v>4</v>
      </c>
      <c r="H24" s="7" t="s">
        <v>5</v>
      </c>
      <c r="I24" s="7" t="s">
        <v>6</v>
      </c>
      <c r="J24" s="7" t="s">
        <v>168</v>
      </c>
      <c r="K24" s="7" t="s">
        <v>167</v>
      </c>
    </row>
    <row r="25" spans="1:16" x14ac:dyDescent="0.25">
      <c r="A25" s="11"/>
      <c r="B25" s="11"/>
      <c r="C25" s="11"/>
      <c r="D25" s="11"/>
      <c r="E25" s="8"/>
      <c r="F25" s="8"/>
      <c r="G25" s="8"/>
      <c r="H25" s="8"/>
      <c r="I25" s="8"/>
      <c r="J25" s="8"/>
      <c r="K25" s="8"/>
    </row>
    <row r="26" spans="1:16" x14ac:dyDescent="0.25">
      <c r="A26" s="11" t="s">
        <v>126</v>
      </c>
      <c r="B26" s="11"/>
      <c r="C26" s="11"/>
      <c r="D26" s="11"/>
      <c r="E26" s="8"/>
      <c r="F26" s="8"/>
      <c r="G26" s="8"/>
      <c r="H26" s="8"/>
      <c r="I26" s="8"/>
      <c r="J26" s="8"/>
      <c r="K26" s="8"/>
      <c r="P26" s="3"/>
    </row>
    <row r="27" spans="1:16" x14ac:dyDescent="0.25">
      <c r="A27" s="78" t="s">
        <v>435</v>
      </c>
      <c r="B27" s="26"/>
      <c r="C27" s="88"/>
      <c r="D27" s="88"/>
      <c r="E27" s="10"/>
      <c r="F27" s="10"/>
      <c r="G27" s="10"/>
      <c r="H27" s="10"/>
      <c r="I27" s="10"/>
      <c r="J27" s="10"/>
      <c r="K27" s="10"/>
      <c r="P27" s="3"/>
    </row>
    <row r="28" spans="1:16" x14ac:dyDescent="0.25">
      <c r="A28" s="26">
        <f>B8</f>
        <v>0</v>
      </c>
      <c r="B28" s="26"/>
      <c r="C28" s="88">
        <f>H8</f>
        <v>0</v>
      </c>
      <c r="D28" s="88">
        <f>K8</f>
        <v>3200</v>
      </c>
      <c r="E28" s="10">
        <f>$C$28*$D$28*E23</f>
        <v>0</v>
      </c>
      <c r="F28" s="10">
        <f t="shared" ref="F28:K28" si="4">$C$28*$D$28*F23</f>
        <v>0</v>
      </c>
      <c r="G28" s="10">
        <f t="shared" si="4"/>
        <v>0</v>
      </c>
      <c r="H28" s="10">
        <f t="shared" si="4"/>
        <v>0</v>
      </c>
      <c r="I28" s="10">
        <f t="shared" si="4"/>
        <v>0</v>
      </c>
      <c r="J28" s="10">
        <f t="shared" si="4"/>
        <v>0</v>
      </c>
      <c r="K28" s="10">
        <f t="shared" si="4"/>
        <v>0</v>
      </c>
      <c r="P28" s="3"/>
    </row>
    <row r="29" spans="1:16" x14ac:dyDescent="0.25">
      <c r="A29" s="26">
        <f>B9</f>
        <v>0</v>
      </c>
      <c r="B29" s="26"/>
      <c r="C29" s="88">
        <f t="shared" ref="C29:C38" si="5">H9</f>
        <v>0</v>
      </c>
      <c r="D29" s="88">
        <f>K9</f>
        <v>3200</v>
      </c>
      <c r="E29" s="10">
        <f>$C$29*$D$29*E23</f>
        <v>0</v>
      </c>
      <c r="F29" s="10">
        <f t="shared" ref="F29:K29" si="6">$C$29*$D$29*F23</f>
        <v>0</v>
      </c>
      <c r="G29" s="10">
        <f t="shared" si="6"/>
        <v>0</v>
      </c>
      <c r="H29" s="10">
        <f t="shared" si="6"/>
        <v>0</v>
      </c>
      <c r="I29" s="10">
        <f t="shared" si="6"/>
        <v>0</v>
      </c>
      <c r="J29" s="10">
        <f t="shared" si="6"/>
        <v>0</v>
      </c>
      <c r="K29" s="10">
        <f t="shared" si="6"/>
        <v>0</v>
      </c>
      <c r="P29" s="3"/>
    </row>
    <row r="30" spans="1:16" x14ac:dyDescent="0.25">
      <c r="A30" s="26">
        <f>B10</f>
        <v>0</v>
      </c>
      <c r="B30" s="26"/>
      <c r="C30" s="88">
        <f t="shared" si="5"/>
        <v>0</v>
      </c>
      <c r="D30" s="88">
        <f>K10</f>
        <v>3600</v>
      </c>
      <c r="E30" s="10">
        <f>$C$30*$D$30*E23</f>
        <v>0</v>
      </c>
      <c r="F30" s="10">
        <f t="shared" ref="F30:K30" si="7">$C$30*$D$30*F23</f>
        <v>0</v>
      </c>
      <c r="G30" s="10">
        <f t="shared" si="7"/>
        <v>0</v>
      </c>
      <c r="H30" s="10">
        <f t="shared" si="7"/>
        <v>0</v>
      </c>
      <c r="I30" s="10">
        <f t="shared" si="7"/>
        <v>0</v>
      </c>
      <c r="J30" s="10">
        <f t="shared" si="7"/>
        <v>0</v>
      </c>
      <c r="K30" s="10">
        <f t="shared" si="7"/>
        <v>0</v>
      </c>
      <c r="P30" s="3"/>
    </row>
    <row r="31" spans="1:16" x14ac:dyDescent="0.25">
      <c r="A31" s="26">
        <f>B11</f>
        <v>0</v>
      </c>
      <c r="B31" s="26"/>
      <c r="C31" s="88">
        <f t="shared" si="5"/>
        <v>0</v>
      </c>
      <c r="D31" s="88">
        <f>K11</f>
        <v>1500</v>
      </c>
      <c r="E31" s="10">
        <f>$C$31*$D$31*E23</f>
        <v>0</v>
      </c>
      <c r="F31" s="10">
        <f t="shared" ref="F31:K31" si="8">$C$31*$D$31*F23</f>
        <v>0</v>
      </c>
      <c r="G31" s="10">
        <f t="shared" si="8"/>
        <v>0</v>
      </c>
      <c r="H31" s="10">
        <f t="shared" si="8"/>
        <v>0</v>
      </c>
      <c r="I31" s="10">
        <f t="shared" si="8"/>
        <v>0</v>
      </c>
      <c r="J31" s="10">
        <f t="shared" si="8"/>
        <v>0</v>
      </c>
      <c r="K31" s="10">
        <f t="shared" si="8"/>
        <v>0</v>
      </c>
      <c r="P31" s="3"/>
    </row>
    <row r="32" spans="1:16" x14ac:dyDescent="0.25">
      <c r="A32" s="26">
        <f>B12</f>
        <v>0</v>
      </c>
      <c r="B32" s="26"/>
      <c r="C32" s="88">
        <f t="shared" si="5"/>
        <v>0</v>
      </c>
      <c r="D32" s="88">
        <f>K12</f>
        <v>3000</v>
      </c>
      <c r="E32" s="10">
        <f>$C$32*$D$32*E23</f>
        <v>0</v>
      </c>
      <c r="F32" s="10">
        <f t="shared" ref="F32:K32" si="9">$C$32*$D$32*F23</f>
        <v>0</v>
      </c>
      <c r="G32" s="10">
        <f t="shared" si="9"/>
        <v>0</v>
      </c>
      <c r="H32" s="10">
        <f t="shared" si="9"/>
        <v>0</v>
      </c>
      <c r="I32" s="10">
        <f t="shared" si="9"/>
        <v>0</v>
      </c>
      <c r="J32" s="10">
        <f t="shared" si="9"/>
        <v>0</v>
      </c>
      <c r="K32" s="10">
        <f t="shared" si="9"/>
        <v>0</v>
      </c>
      <c r="P32" s="3"/>
    </row>
    <row r="33" spans="1:16" x14ac:dyDescent="0.25">
      <c r="A33" s="26"/>
      <c r="B33" s="26"/>
      <c r="C33" s="88">
        <f t="shared" si="5"/>
        <v>0</v>
      </c>
      <c r="D33" s="88">
        <f t="shared" ref="D33:D38" si="10">K13</f>
        <v>0</v>
      </c>
      <c r="E33" s="10">
        <f>$C$33*$D$33*E23</f>
        <v>0</v>
      </c>
      <c r="F33" s="10">
        <f t="shared" ref="F33:K33" si="11">$C$33*$D$33*F23</f>
        <v>0</v>
      </c>
      <c r="G33" s="10">
        <f t="shared" si="11"/>
        <v>0</v>
      </c>
      <c r="H33" s="10">
        <f t="shared" si="11"/>
        <v>0</v>
      </c>
      <c r="I33" s="10">
        <f t="shared" si="11"/>
        <v>0</v>
      </c>
      <c r="J33" s="10">
        <f t="shared" si="11"/>
        <v>0</v>
      </c>
      <c r="K33" s="10">
        <f t="shared" si="11"/>
        <v>0</v>
      </c>
      <c r="P33" s="3"/>
    </row>
    <row r="34" spans="1:16" x14ac:dyDescent="0.25">
      <c r="A34" s="26"/>
      <c r="B34" s="26"/>
      <c r="C34" s="88">
        <f t="shared" si="5"/>
        <v>0</v>
      </c>
      <c r="D34" s="88">
        <f t="shared" si="10"/>
        <v>0</v>
      </c>
      <c r="E34" s="10">
        <f>$C$34*$D$34*E23</f>
        <v>0</v>
      </c>
      <c r="F34" s="10">
        <f t="shared" ref="F34:K34" si="12">$C$34*$D$34*F23</f>
        <v>0</v>
      </c>
      <c r="G34" s="10">
        <f t="shared" si="12"/>
        <v>0</v>
      </c>
      <c r="H34" s="10">
        <f t="shared" si="12"/>
        <v>0</v>
      </c>
      <c r="I34" s="10">
        <f t="shared" si="12"/>
        <v>0</v>
      </c>
      <c r="J34" s="10">
        <f t="shared" si="12"/>
        <v>0</v>
      </c>
      <c r="K34" s="10">
        <f t="shared" si="12"/>
        <v>0</v>
      </c>
      <c r="P34" s="3"/>
    </row>
    <row r="35" spans="1:16" x14ac:dyDescent="0.25">
      <c r="A35" s="26"/>
      <c r="B35" s="26"/>
      <c r="C35" s="88">
        <f t="shared" si="5"/>
        <v>0</v>
      </c>
      <c r="D35" s="88">
        <f t="shared" si="10"/>
        <v>0</v>
      </c>
      <c r="E35" s="10">
        <f>$C$35*$D$35*E23</f>
        <v>0</v>
      </c>
      <c r="F35" s="10">
        <f t="shared" ref="F35:K35" si="13">$C$35*$D$35*F23</f>
        <v>0</v>
      </c>
      <c r="G35" s="10">
        <f t="shared" si="13"/>
        <v>0</v>
      </c>
      <c r="H35" s="10">
        <f t="shared" si="13"/>
        <v>0</v>
      </c>
      <c r="I35" s="10">
        <f t="shared" si="13"/>
        <v>0</v>
      </c>
      <c r="J35" s="10">
        <f t="shared" si="13"/>
        <v>0</v>
      </c>
      <c r="K35" s="10">
        <f t="shared" si="13"/>
        <v>0</v>
      </c>
      <c r="P35" s="3"/>
    </row>
    <row r="36" spans="1:16" x14ac:dyDescent="0.25">
      <c r="A36" s="26"/>
      <c r="B36" s="26"/>
      <c r="C36" s="88">
        <f t="shared" si="5"/>
        <v>0</v>
      </c>
      <c r="D36" s="88">
        <f t="shared" si="10"/>
        <v>0</v>
      </c>
      <c r="E36" s="10">
        <f>$C$36*$D$36*E23</f>
        <v>0</v>
      </c>
      <c r="F36" s="10">
        <f t="shared" ref="F36:K36" si="14">$C$36*$D$36*F23</f>
        <v>0</v>
      </c>
      <c r="G36" s="10">
        <f t="shared" si="14"/>
        <v>0</v>
      </c>
      <c r="H36" s="10">
        <f t="shared" si="14"/>
        <v>0</v>
      </c>
      <c r="I36" s="10">
        <f t="shared" si="14"/>
        <v>0</v>
      </c>
      <c r="J36" s="10">
        <f t="shared" si="14"/>
        <v>0</v>
      </c>
      <c r="K36" s="10">
        <f t="shared" si="14"/>
        <v>0</v>
      </c>
      <c r="P36" s="3"/>
    </row>
    <row r="37" spans="1:16" x14ac:dyDescent="0.25">
      <c r="A37" s="26"/>
      <c r="B37" s="26"/>
      <c r="C37" s="88">
        <f t="shared" si="5"/>
        <v>0</v>
      </c>
      <c r="D37" s="88">
        <f t="shared" si="10"/>
        <v>0</v>
      </c>
      <c r="E37" s="10">
        <f>$C$37*$D$37*E23</f>
        <v>0</v>
      </c>
      <c r="F37" s="10">
        <f t="shared" ref="F37:K37" si="15">$C$37*$D$37*F23</f>
        <v>0</v>
      </c>
      <c r="G37" s="10">
        <f t="shared" si="15"/>
        <v>0</v>
      </c>
      <c r="H37" s="10">
        <f t="shared" si="15"/>
        <v>0</v>
      </c>
      <c r="I37" s="10">
        <f t="shared" si="15"/>
        <v>0</v>
      </c>
      <c r="J37" s="10">
        <f t="shared" si="15"/>
        <v>0</v>
      </c>
      <c r="K37" s="10">
        <f t="shared" si="15"/>
        <v>0</v>
      </c>
      <c r="P37" s="3"/>
    </row>
    <row r="38" spans="1:16" x14ac:dyDescent="0.25">
      <c r="A38" s="11"/>
      <c r="B38" s="11"/>
      <c r="C38" s="88">
        <f t="shared" si="5"/>
        <v>0</v>
      </c>
      <c r="D38" s="88">
        <f t="shared" si="10"/>
        <v>0</v>
      </c>
      <c r="E38" s="10">
        <f>$C$38*$D$38*E23</f>
        <v>0</v>
      </c>
      <c r="F38" s="10">
        <f t="shared" ref="F38:K38" si="16">$C$38*$D$38*F23</f>
        <v>0</v>
      </c>
      <c r="G38" s="10">
        <f t="shared" si="16"/>
        <v>0</v>
      </c>
      <c r="H38" s="10">
        <f t="shared" si="16"/>
        <v>0</v>
      </c>
      <c r="I38" s="10">
        <f t="shared" si="16"/>
        <v>0</v>
      </c>
      <c r="J38" s="10">
        <f t="shared" si="16"/>
        <v>0</v>
      </c>
      <c r="K38" s="10">
        <f t="shared" si="16"/>
        <v>0</v>
      </c>
      <c r="P38" s="3"/>
    </row>
    <row r="39" spans="1:16" x14ac:dyDescent="0.25">
      <c r="A39" s="11" t="s">
        <v>142</v>
      </c>
      <c r="B39" s="11"/>
      <c r="C39" s="27"/>
      <c r="D39" s="27"/>
      <c r="E39" s="10">
        <f>SUM(E28:E38)</f>
        <v>0</v>
      </c>
      <c r="F39" s="10">
        <f t="shared" ref="F39:K39" si="17">SUM(F28:F38)</f>
        <v>0</v>
      </c>
      <c r="G39" s="10">
        <f t="shared" si="17"/>
        <v>0</v>
      </c>
      <c r="H39" s="10">
        <f t="shared" si="17"/>
        <v>0</v>
      </c>
      <c r="I39" s="10">
        <f t="shared" si="17"/>
        <v>0</v>
      </c>
      <c r="J39" s="10">
        <f t="shared" si="17"/>
        <v>0</v>
      </c>
      <c r="K39" s="10">
        <f t="shared" si="17"/>
        <v>0</v>
      </c>
      <c r="P39" s="3"/>
    </row>
    <row r="40" spans="1:16" x14ac:dyDescent="0.25">
      <c r="A40" s="8"/>
      <c r="B40" s="8"/>
      <c r="C40" s="14"/>
      <c r="D40" s="14"/>
      <c r="E40" s="10"/>
      <c r="F40" s="10"/>
      <c r="G40" s="10"/>
      <c r="H40" s="10"/>
      <c r="I40" s="10"/>
      <c r="J40" s="10"/>
      <c r="K40" s="10"/>
      <c r="P40" s="3"/>
    </row>
    <row r="41" spans="1:16" x14ac:dyDescent="0.25">
      <c r="A41" s="11" t="s">
        <v>141</v>
      </c>
      <c r="B41" s="11"/>
      <c r="C41" s="27"/>
      <c r="D41" s="27"/>
      <c r="E41" s="10"/>
      <c r="F41" s="10"/>
      <c r="G41" s="10"/>
      <c r="H41" s="10"/>
      <c r="I41" s="10"/>
      <c r="J41" s="10"/>
      <c r="K41" s="10"/>
      <c r="P41" s="3"/>
    </row>
    <row r="42" spans="1:16" x14ac:dyDescent="0.25">
      <c r="A42" s="11" t="s">
        <v>300</v>
      </c>
      <c r="B42" s="11"/>
      <c r="C42" s="27"/>
      <c r="D42" s="27"/>
      <c r="E42" s="10"/>
      <c r="F42" s="10"/>
      <c r="G42" s="10"/>
      <c r="H42" s="10"/>
      <c r="I42" s="10"/>
      <c r="J42" s="10"/>
      <c r="K42" s="10"/>
    </row>
    <row r="43" spans="1:16" x14ac:dyDescent="0.25">
      <c r="A43" s="8" t="s">
        <v>301</v>
      </c>
      <c r="B43" s="8" t="s">
        <v>432</v>
      </c>
      <c r="C43" s="14">
        <f>SUM(J8:J17)</f>
        <v>0</v>
      </c>
      <c r="D43" s="1">
        <v>100</v>
      </c>
      <c r="E43" s="10">
        <f>$C$43*$D$43*E23</f>
        <v>0</v>
      </c>
      <c r="F43" s="10">
        <f t="shared" ref="F43:K43" si="18">$C$43*$D$43*F23</f>
        <v>0</v>
      </c>
      <c r="G43" s="10">
        <f t="shared" si="18"/>
        <v>0</v>
      </c>
      <c r="H43" s="10">
        <f t="shared" si="18"/>
        <v>0</v>
      </c>
      <c r="I43" s="10">
        <f t="shared" si="18"/>
        <v>0</v>
      </c>
      <c r="J43" s="10">
        <f t="shared" si="18"/>
        <v>0</v>
      </c>
      <c r="K43" s="10">
        <f t="shared" si="18"/>
        <v>0</v>
      </c>
    </row>
    <row r="44" spans="1:16" x14ac:dyDescent="0.25">
      <c r="A44" s="8" t="s">
        <v>302</v>
      </c>
      <c r="B44" s="8" t="s">
        <v>434</v>
      </c>
      <c r="C44" s="14">
        <f>SUM(M8:M17)</f>
        <v>0</v>
      </c>
      <c r="D44" s="1">
        <v>300</v>
      </c>
      <c r="E44" s="10">
        <f>$C$44*$D$44*E23</f>
        <v>0</v>
      </c>
      <c r="F44" s="10">
        <f t="shared" ref="F44:K44" si="19">$C$44*$D$44*F23</f>
        <v>0</v>
      </c>
      <c r="G44" s="10">
        <f t="shared" si="19"/>
        <v>0</v>
      </c>
      <c r="H44" s="10">
        <f t="shared" si="19"/>
        <v>0</v>
      </c>
      <c r="I44" s="10">
        <f t="shared" si="19"/>
        <v>0</v>
      </c>
      <c r="J44" s="10">
        <f t="shared" si="19"/>
        <v>0</v>
      </c>
      <c r="K44" s="10">
        <f t="shared" si="19"/>
        <v>0</v>
      </c>
    </row>
    <row r="45" spans="1:16" x14ac:dyDescent="0.25">
      <c r="A45" s="8"/>
      <c r="B45" s="8"/>
      <c r="C45" s="1"/>
      <c r="D45" s="1"/>
      <c r="E45" s="10"/>
      <c r="F45" s="10"/>
      <c r="G45" s="10"/>
      <c r="H45" s="10"/>
      <c r="I45" s="10"/>
      <c r="J45" s="10"/>
      <c r="K45" s="10"/>
    </row>
    <row r="46" spans="1:16" x14ac:dyDescent="0.25">
      <c r="A46" s="8"/>
      <c r="B46" s="8"/>
      <c r="C46" s="1"/>
      <c r="D46" s="1"/>
      <c r="E46" s="10"/>
      <c r="F46" s="10"/>
      <c r="G46" s="10"/>
      <c r="H46" s="10"/>
      <c r="I46" s="10"/>
      <c r="J46" s="10"/>
      <c r="K46" s="10"/>
    </row>
    <row r="47" spans="1:16" x14ac:dyDescent="0.25">
      <c r="A47" s="8"/>
      <c r="B47" s="8"/>
      <c r="C47" s="1"/>
      <c r="D47" s="1"/>
      <c r="E47" s="10"/>
      <c r="F47" s="10"/>
      <c r="G47" s="10"/>
      <c r="H47" s="10"/>
      <c r="I47" s="10"/>
      <c r="J47" s="10"/>
      <c r="K47" s="10"/>
    </row>
    <row r="48" spans="1:16" x14ac:dyDescent="0.25">
      <c r="A48" s="8"/>
      <c r="B48" s="8"/>
      <c r="C48" s="1"/>
      <c r="D48" s="1"/>
      <c r="E48" s="10"/>
      <c r="F48" s="10"/>
      <c r="G48" s="10"/>
      <c r="H48" s="10"/>
      <c r="I48" s="10"/>
      <c r="J48" s="10"/>
      <c r="K48" s="10"/>
    </row>
    <row r="49" spans="1:12" x14ac:dyDescent="0.2">
      <c r="A49" s="11" t="s">
        <v>313</v>
      </c>
      <c r="B49" s="11"/>
      <c r="C49" s="2"/>
      <c r="D49" s="2"/>
      <c r="E49" s="12">
        <f>SUM(E43:E48)</f>
        <v>0</v>
      </c>
      <c r="F49" s="12">
        <f t="shared" ref="F49:K49" si="20">SUM(F43:F48)</f>
        <v>0</v>
      </c>
      <c r="G49" s="12">
        <f t="shared" si="20"/>
        <v>0</v>
      </c>
      <c r="H49" s="12">
        <f t="shared" si="20"/>
        <v>0</v>
      </c>
      <c r="I49" s="12">
        <f t="shared" si="20"/>
        <v>0</v>
      </c>
      <c r="J49" s="12">
        <f t="shared" si="20"/>
        <v>0</v>
      </c>
      <c r="K49" s="12">
        <f t="shared" si="20"/>
        <v>0</v>
      </c>
    </row>
    <row r="50" spans="1:12" x14ac:dyDescent="0.2">
      <c r="A50" s="11"/>
      <c r="B50" s="11"/>
      <c r="C50" s="2"/>
      <c r="D50" s="2"/>
      <c r="E50" s="12"/>
      <c r="F50" s="12"/>
      <c r="G50" s="12"/>
      <c r="H50" s="12"/>
      <c r="I50" s="12"/>
      <c r="J50" s="12"/>
      <c r="K50" s="12"/>
    </row>
    <row r="51" spans="1:12" x14ac:dyDescent="0.25">
      <c r="A51" s="78" t="s">
        <v>303</v>
      </c>
      <c r="B51" s="78"/>
      <c r="C51" s="76"/>
      <c r="D51" s="76"/>
      <c r="E51" s="10"/>
      <c r="F51" s="10"/>
      <c r="G51" s="10"/>
      <c r="H51" s="10"/>
      <c r="I51" s="10"/>
      <c r="J51" s="10"/>
      <c r="K51" s="10"/>
    </row>
    <row r="52" spans="1:12" x14ac:dyDescent="0.25">
      <c r="A52" s="26" t="s">
        <v>304</v>
      </c>
      <c r="B52" s="8" t="s">
        <v>381</v>
      </c>
      <c r="C52" s="76">
        <v>0</v>
      </c>
      <c r="D52" s="89">
        <v>0</v>
      </c>
      <c r="E52" s="10">
        <f t="shared" ref="E52:K52" si="21">$C$52*$D$52*12*E23</f>
        <v>0</v>
      </c>
      <c r="F52" s="10">
        <f t="shared" si="21"/>
        <v>0</v>
      </c>
      <c r="G52" s="10">
        <f t="shared" si="21"/>
        <v>0</v>
      </c>
      <c r="H52" s="10">
        <f t="shared" si="21"/>
        <v>0</v>
      </c>
      <c r="I52" s="10">
        <f t="shared" si="21"/>
        <v>0</v>
      </c>
      <c r="J52" s="10">
        <f t="shared" si="21"/>
        <v>0</v>
      </c>
      <c r="K52" s="10">
        <f t="shared" si="21"/>
        <v>0</v>
      </c>
    </row>
    <row r="53" spans="1:12" x14ac:dyDescent="0.25">
      <c r="A53" s="26"/>
      <c r="B53" s="26"/>
      <c r="C53" s="76"/>
      <c r="D53" s="89"/>
      <c r="E53" s="10"/>
      <c r="F53" s="10"/>
      <c r="G53" s="10"/>
      <c r="H53" s="10"/>
      <c r="I53" s="10"/>
      <c r="J53" s="10"/>
      <c r="K53" s="10"/>
    </row>
    <row r="54" spans="1:12" x14ac:dyDescent="0.25">
      <c r="A54" s="26"/>
      <c r="B54" s="26"/>
      <c r="C54" s="76"/>
      <c r="D54" s="89"/>
      <c r="E54" s="10"/>
      <c r="F54" s="10"/>
      <c r="G54" s="10"/>
      <c r="H54" s="10"/>
      <c r="I54" s="10"/>
      <c r="J54" s="10"/>
      <c r="K54" s="10"/>
    </row>
    <row r="55" spans="1:12" x14ac:dyDescent="0.25">
      <c r="A55" s="26"/>
      <c r="B55" s="26"/>
      <c r="C55" s="76"/>
      <c r="D55" s="89"/>
      <c r="E55" s="10"/>
      <c r="F55" s="10"/>
      <c r="G55" s="10"/>
      <c r="H55" s="10"/>
      <c r="I55" s="10"/>
      <c r="J55" s="10"/>
      <c r="K55" s="10"/>
    </row>
    <row r="56" spans="1:12" x14ac:dyDescent="0.2">
      <c r="A56" s="11" t="s">
        <v>317</v>
      </c>
      <c r="B56" s="11"/>
      <c r="C56" s="11"/>
      <c r="D56" s="11"/>
      <c r="E56" s="12">
        <f>SUM(E52:E55)</f>
        <v>0</v>
      </c>
      <c r="F56" s="12">
        <f t="shared" ref="F56:K56" si="22">SUM(F52:F55)</f>
        <v>0</v>
      </c>
      <c r="G56" s="12">
        <f t="shared" si="22"/>
        <v>0</v>
      </c>
      <c r="H56" s="12">
        <f t="shared" si="22"/>
        <v>0</v>
      </c>
      <c r="I56" s="12">
        <f t="shared" si="22"/>
        <v>0</v>
      </c>
      <c r="J56" s="12">
        <f t="shared" si="22"/>
        <v>0</v>
      </c>
      <c r="K56" s="12">
        <f t="shared" si="22"/>
        <v>0</v>
      </c>
    </row>
    <row r="57" spans="1:12" x14ac:dyDescent="0.2">
      <c r="A57" s="11" t="s">
        <v>129</v>
      </c>
      <c r="B57" s="11"/>
      <c r="C57" s="11"/>
      <c r="D57" s="11"/>
      <c r="E57" s="12">
        <f>E49+E56</f>
        <v>0</v>
      </c>
      <c r="F57" s="12">
        <f t="shared" ref="F57:K57" si="23">F49+F56</f>
        <v>0</v>
      </c>
      <c r="G57" s="12">
        <f t="shared" si="23"/>
        <v>0</v>
      </c>
      <c r="H57" s="12">
        <f t="shared" si="23"/>
        <v>0</v>
      </c>
      <c r="I57" s="12">
        <f t="shared" si="23"/>
        <v>0</v>
      </c>
      <c r="J57" s="12">
        <f t="shared" si="23"/>
        <v>0</v>
      </c>
      <c r="K57" s="12">
        <f t="shared" si="23"/>
        <v>0</v>
      </c>
    </row>
    <row r="58" spans="1:12" x14ac:dyDescent="0.25">
      <c r="A58" s="8"/>
      <c r="B58" s="8"/>
      <c r="C58" s="8"/>
      <c r="D58" s="8"/>
      <c r="E58" s="10"/>
      <c r="F58" s="10"/>
      <c r="G58" s="10"/>
      <c r="H58" s="10"/>
      <c r="I58" s="10"/>
      <c r="J58" s="10"/>
      <c r="K58" s="10"/>
    </row>
    <row r="59" spans="1:12" x14ac:dyDescent="0.2">
      <c r="A59" s="11" t="s">
        <v>306</v>
      </c>
      <c r="B59" s="11"/>
      <c r="C59" s="11"/>
      <c r="D59" s="11"/>
      <c r="E59" s="12">
        <f t="shared" ref="E59:K59" si="24">E39-E57</f>
        <v>0</v>
      </c>
      <c r="F59" s="12">
        <f t="shared" si="24"/>
        <v>0</v>
      </c>
      <c r="G59" s="12">
        <f t="shared" si="24"/>
        <v>0</v>
      </c>
      <c r="H59" s="12">
        <f t="shared" si="24"/>
        <v>0</v>
      </c>
      <c r="I59" s="12">
        <f t="shared" si="24"/>
        <v>0</v>
      </c>
      <c r="J59" s="12">
        <f t="shared" si="24"/>
        <v>0</v>
      </c>
      <c r="K59" s="12">
        <f t="shared" si="24"/>
        <v>0</v>
      </c>
    </row>
    <row r="60" spans="1:12" x14ac:dyDescent="0.2">
      <c r="A60" s="90"/>
      <c r="B60" s="90"/>
      <c r="C60" s="90"/>
      <c r="D60" s="90"/>
      <c r="E60" s="91"/>
      <c r="F60" s="91"/>
      <c r="G60" s="91"/>
      <c r="H60" s="91"/>
      <c r="I60" s="91"/>
      <c r="J60" s="91"/>
      <c r="K60" s="91"/>
    </row>
    <row r="61" spans="1:12" x14ac:dyDescent="0.25">
      <c r="A61" s="3"/>
      <c r="B61" s="3"/>
      <c r="C61" s="90"/>
      <c r="D61" s="90"/>
      <c r="E61" s="91"/>
      <c r="F61" s="91"/>
      <c r="G61" s="91"/>
      <c r="H61" s="91"/>
      <c r="I61" s="91"/>
      <c r="J61" s="91"/>
      <c r="K61" s="91"/>
    </row>
    <row r="62" spans="1:12" x14ac:dyDescent="0.25">
      <c r="A62" s="563" t="s">
        <v>412</v>
      </c>
      <c r="B62" s="563"/>
      <c r="C62" s="563"/>
      <c r="D62" s="563"/>
      <c r="E62" s="563"/>
      <c r="F62" s="563"/>
      <c r="G62" s="563"/>
      <c r="H62" s="563"/>
      <c r="I62" s="563"/>
      <c r="J62" s="563"/>
      <c r="K62" s="563"/>
      <c r="L62" s="563"/>
    </row>
    <row r="65" spans="1:2" x14ac:dyDescent="0.25">
      <c r="A65" t="s">
        <v>530</v>
      </c>
    </row>
    <row r="66" spans="1:2" x14ac:dyDescent="0.25">
      <c r="A66">
        <v>1</v>
      </c>
      <c r="B66" t="s">
        <v>543</v>
      </c>
    </row>
    <row r="67" spans="1:2" x14ac:dyDescent="0.25">
      <c r="A67">
        <v>2</v>
      </c>
      <c r="B67" t="s">
        <v>544</v>
      </c>
    </row>
    <row r="68" spans="1:2" x14ac:dyDescent="0.25">
      <c r="A68">
        <v>3</v>
      </c>
      <c r="B68" s="3" t="s">
        <v>595</v>
      </c>
    </row>
  </sheetData>
  <mergeCells count="4">
    <mergeCell ref="A21:K21"/>
    <mergeCell ref="A62:L62"/>
    <mergeCell ref="A3:L3"/>
    <mergeCell ref="A4:L4"/>
  </mergeCells>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268" zoomScale="60" zoomScaleNormal="80" workbookViewId="0">
      <selection activeCell="E49" sqref="E49"/>
    </sheetView>
  </sheetViews>
  <sheetFormatPr defaultColWidth="10" defaultRowHeight="15" x14ac:dyDescent="0.25"/>
  <cols>
    <col min="1" max="1" width="41.28515625" customWidth="1"/>
    <col min="2" max="2" width="4.42578125" customWidth="1"/>
    <col min="3" max="3" width="11.42578125" customWidth="1"/>
    <col min="4" max="4" width="18" customWidth="1"/>
    <col min="5" max="5" width="19.42578125" customWidth="1"/>
    <col min="6" max="10" width="14.7109375" customWidth="1"/>
    <col min="12" max="12" width="27.28515625" customWidth="1"/>
    <col min="18" max="20" width="9.42578125" customWidth="1"/>
    <col min="22" max="22" width="9.42578125" customWidth="1"/>
  </cols>
  <sheetData>
    <row r="2" spans="1:9" ht="18.75" x14ac:dyDescent="0.3">
      <c r="A2" s="547" t="s">
        <v>588</v>
      </c>
      <c r="B2" s="547"/>
      <c r="C2" s="547"/>
      <c r="D2" s="547"/>
      <c r="E2" s="547"/>
      <c r="F2" s="547"/>
      <c r="G2" s="547"/>
      <c r="H2" s="547"/>
      <c r="I2" s="547"/>
    </row>
    <row r="4" spans="1:9" x14ac:dyDescent="0.25">
      <c r="A4" s="3"/>
      <c r="B4" s="3"/>
      <c r="C4" s="3"/>
      <c r="D4" s="3"/>
      <c r="E4" s="3"/>
      <c r="F4" s="3"/>
      <c r="G4" s="3"/>
      <c r="H4" s="3"/>
      <c r="I4" s="3"/>
    </row>
    <row r="5" spans="1:9" x14ac:dyDescent="0.25">
      <c r="A5" s="3"/>
      <c r="B5" s="3"/>
      <c r="C5" s="3"/>
      <c r="D5" s="3"/>
      <c r="E5" s="3"/>
      <c r="F5" s="3"/>
      <c r="G5" s="3"/>
      <c r="H5" s="3"/>
      <c r="I5" s="3"/>
    </row>
    <row r="6" spans="1:9" x14ac:dyDescent="0.2">
      <c r="A6" s="6" t="s">
        <v>127</v>
      </c>
      <c r="B6" s="6"/>
      <c r="C6" s="7" t="s">
        <v>2</v>
      </c>
      <c r="D6" s="7" t="s">
        <v>3</v>
      </c>
      <c r="E6" s="7" t="s">
        <v>4</v>
      </c>
      <c r="F6" s="7" t="s">
        <v>5</v>
      </c>
      <c r="G6" s="7" t="s">
        <v>6</v>
      </c>
      <c r="H6" s="7" t="s">
        <v>168</v>
      </c>
      <c r="I6" s="7" t="s">
        <v>167</v>
      </c>
    </row>
    <row r="7" spans="1:9" x14ac:dyDescent="0.25">
      <c r="A7" s="27" t="s">
        <v>546</v>
      </c>
      <c r="B7" s="14"/>
      <c r="C7" s="14"/>
      <c r="D7" s="14"/>
      <c r="E7" s="14"/>
      <c r="F7" s="14"/>
      <c r="G7" s="14"/>
      <c r="H7" s="14"/>
      <c r="I7" s="14"/>
    </row>
    <row r="8" spans="1:9" x14ac:dyDescent="0.25">
      <c r="A8" s="27" t="s">
        <v>177</v>
      </c>
      <c r="B8" s="92"/>
      <c r="C8" s="93"/>
      <c r="D8" s="93"/>
      <c r="E8" s="93"/>
      <c r="F8" s="93"/>
      <c r="G8" s="93"/>
      <c r="H8" s="93"/>
      <c r="I8" s="93"/>
    </row>
    <row r="9" spans="1:9" x14ac:dyDescent="0.25">
      <c r="A9" s="14">
        <f>'10.Grain Production details'!A95</f>
        <v>0</v>
      </c>
      <c r="B9" s="92"/>
      <c r="C9" s="93">
        <f>'10.Grain Production details'!B95</f>
        <v>0</v>
      </c>
      <c r="D9" s="93">
        <f>'10.Grain Production details'!C95</f>
        <v>0</v>
      </c>
      <c r="E9" s="93">
        <f>'10.Grain Production details'!D95</f>
        <v>0</v>
      </c>
      <c r="F9" s="93">
        <f>'10.Grain Production details'!E95</f>
        <v>0</v>
      </c>
      <c r="G9" s="93">
        <f>'10.Grain Production details'!F95</f>
        <v>0</v>
      </c>
      <c r="H9" s="93">
        <f>'10.Grain Production details'!G95</f>
        <v>0</v>
      </c>
      <c r="I9" s="93">
        <f>'10.Grain Production details'!H95</f>
        <v>0</v>
      </c>
    </row>
    <row r="10" spans="1:9" x14ac:dyDescent="0.25">
      <c r="A10" s="14" t="str">
        <f>'10.Grain Production details'!A96</f>
        <v>Red Gram/Tur</v>
      </c>
      <c r="B10" s="92"/>
      <c r="C10" s="93">
        <f>'10.Grain Production details'!B96</f>
        <v>0</v>
      </c>
      <c r="D10" s="93">
        <f>'10.Grain Production details'!C96</f>
        <v>0</v>
      </c>
      <c r="E10" s="93">
        <f>'10.Grain Production details'!D96</f>
        <v>0</v>
      </c>
      <c r="F10" s="93">
        <f>'10.Grain Production details'!E96</f>
        <v>0</v>
      </c>
      <c r="G10" s="93">
        <f>'10.Grain Production details'!F96</f>
        <v>0</v>
      </c>
      <c r="H10" s="93">
        <f>'10.Grain Production details'!G96</f>
        <v>0</v>
      </c>
      <c r="I10" s="93">
        <f>'10.Grain Production details'!H96</f>
        <v>0</v>
      </c>
    </row>
    <row r="11" spans="1:9" x14ac:dyDescent="0.25">
      <c r="A11" s="14" t="str">
        <f>'10.Grain Production details'!A97</f>
        <v>Paddy/Rice</v>
      </c>
      <c r="B11" s="92"/>
      <c r="C11" s="93">
        <f>'10.Grain Production details'!B97</f>
        <v>0</v>
      </c>
      <c r="D11" s="93">
        <f>'10.Grain Production details'!C97</f>
        <v>0</v>
      </c>
      <c r="E11" s="93">
        <f>'10.Grain Production details'!D97</f>
        <v>0</v>
      </c>
      <c r="F11" s="93">
        <f>'10.Grain Production details'!E97</f>
        <v>0</v>
      </c>
      <c r="G11" s="93">
        <f>'10.Grain Production details'!F97</f>
        <v>0</v>
      </c>
      <c r="H11" s="93">
        <f>'10.Grain Production details'!G97</f>
        <v>0</v>
      </c>
      <c r="I11" s="93">
        <f>'10.Grain Production details'!H97</f>
        <v>0</v>
      </c>
    </row>
    <row r="12" spans="1:9" x14ac:dyDescent="0.25">
      <c r="A12" s="14" t="str">
        <f>'10.Grain Production details'!A98</f>
        <v>Green Gram/ Moong</v>
      </c>
      <c r="B12" s="92"/>
      <c r="C12" s="93">
        <f>'10.Grain Production details'!B98</f>
        <v>0</v>
      </c>
      <c r="D12" s="93">
        <f>'10.Grain Production details'!C98</f>
        <v>0</v>
      </c>
      <c r="E12" s="93">
        <f>'10.Grain Production details'!D98</f>
        <v>0</v>
      </c>
      <c r="F12" s="93">
        <f>'10.Grain Production details'!E98</f>
        <v>0</v>
      </c>
      <c r="G12" s="93">
        <f>'10.Grain Production details'!F98</f>
        <v>0</v>
      </c>
      <c r="H12" s="93">
        <f>'10.Grain Production details'!G98</f>
        <v>0</v>
      </c>
      <c r="I12" s="93">
        <f>'10.Grain Production details'!H98</f>
        <v>0</v>
      </c>
    </row>
    <row r="13" spans="1:9" x14ac:dyDescent="0.25">
      <c r="A13" s="14" t="str">
        <f>'10.Grain Production details'!A99</f>
        <v>Maize</v>
      </c>
      <c r="B13" s="92"/>
      <c r="C13" s="93">
        <f>'10.Grain Production details'!B99</f>
        <v>0</v>
      </c>
      <c r="D13" s="93">
        <f>'10.Grain Production details'!C99</f>
        <v>0</v>
      </c>
      <c r="E13" s="93">
        <f>'10.Grain Production details'!D99</f>
        <v>0</v>
      </c>
      <c r="F13" s="93">
        <f>'10.Grain Production details'!E99</f>
        <v>0</v>
      </c>
      <c r="G13" s="93">
        <f>'10.Grain Production details'!F99</f>
        <v>0</v>
      </c>
      <c r="H13" s="93">
        <f>'10.Grain Production details'!G99</f>
        <v>0</v>
      </c>
      <c r="I13" s="93">
        <f>'10.Grain Production details'!H99</f>
        <v>0</v>
      </c>
    </row>
    <row r="14" spans="1:9" x14ac:dyDescent="0.25">
      <c r="A14" s="14" t="str">
        <f>'10.Grain Production details'!A100</f>
        <v>Black Gram/Udid</v>
      </c>
      <c r="B14" s="92"/>
      <c r="C14" s="93">
        <f>'10.Grain Production details'!B100</f>
        <v>0</v>
      </c>
      <c r="D14" s="93">
        <f>'10.Grain Production details'!C100</f>
        <v>0</v>
      </c>
      <c r="E14" s="93">
        <f>'10.Grain Production details'!D100</f>
        <v>0</v>
      </c>
      <c r="F14" s="93">
        <f>'10.Grain Production details'!E100</f>
        <v>0</v>
      </c>
      <c r="G14" s="93">
        <f>'10.Grain Production details'!F100</f>
        <v>0</v>
      </c>
      <c r="H14" s="93">
        <f>'10.Grain Production details'!G100</f>
        <v>0</v>
      </c>
      <c r="I14" s="93">
        <f>'10.Grain Production details'!H100</f>
        <v>0</v>
      </c>
    </row>
    <row r="15" spans="1:9" x14ac:dyDescent="0.25">
      <c r="A15" s="14" t="str">
        <f>'10.Grain Production details'!A101</f>
        <v>Bajra</v>
      </c>
      <c r="B15" s="92"/>
      <c r="C15" s="93">
        <f>'10.Grain Production details'!B101</f>
        <v>0</v>
      </c>
      <c r="D15" s="93">
        <f>'10.Grain Production details'!C101</f>
        <v>0</v>
      </c>
      <c r="E15" s="93">
        <f>'10.Grain Production details'!D101</f>
        <v>0</v>
      </c>
      <c r="F15" s="93">
        <f>'10.Grain Production details'!E101</f>
        <v>0</v>
      </c>
      <c r="G15" s="93">
        <f>'10.Grain Production details'!F101</f>
        <v>0</v>
      </c>
      <c r="H15" s="93">
        <f>'10.Grain Production details'!G101</f>
        <v>0</v>
      </c>
      <c r="I15" s="93">
        <f>'10.Grain Production details'!H101</f>
        <v>0</v>
      </c>
    </row>
    <row r="16" spans="1:9" x14ac:dyDescent="0.25">
      <c r="A16" s="14" t="str">
        <f>'10.Grain Production details'!A102</f>
        <v>Jawar</v>
      </c>
      <c r="B16" s="92"/>
      <c r="C16" s="93">
        <f>'10.Grain Production details'!B102</f>
        <v>0</v>
      </c>
      <c r="D16" s="93">
        <f>'10.Grain Production details'!C102</f>
        <v>0</v>
      </c>
      <c r="E16" s="93">
        <f>'10.Grain Production details'!D102</f>
        <v>0</v>
      </c>
      <c r="F16" s="93">
        <f>'10.Grain Production details'!E102</f>
        <v>0</v>
      </c>
      <c r="G16" s="93">
        <f>'10.Grain Production details'!F102</f>
        <v>0</v>
      </c>
      <c r="H16" s="93">
        <f>'10.Grain Production details'!G102</f>
        <v>0</v>
      </c>
      <c r="I16" s="93">
        <f>'10.Grain Production details'!H102</f>
        <v>0</v>
      </c>
    </row>
    <row r="17" spans="1:9" x14ac:dyDescent="0.25">
      <c r="A17" s="27" t="s">
        <v>181</v>
      </c>
      <c r="B17" s="92"/>
      <c r="C17" s="93"/>
      <c r="D17" s="93"/>
      <c r="E17" s="93"/>
      <c r="F17" s="93"/>
      <c r="G17" s="93"/>
      <c r="H17" s="93"/>
      <c r="I17" s="93"/>
    </row>
    <row r="18" spans="1:9" x14ac:dyDescent="0.25">
      <c r="A18" s="14" t="str">
        <f>'10.Grain Production details'!A104</f>
        <v>Wheat</v>
      </c>
      <c r="B18" s="92"/>
      <c r="C18" s="93">
        <f>'10.Grain Production details'!B104</f>
        <v>0</v>
      </c>
      <c r="D18" s="93">
        <f>'10.Grain Production details'!C104</f>
        <v>0</v>
      </c>
      <c r="E18" s="93">
        <f>'10.Grain Production details'!D104</f>
        <v>0</v>
      </c>
      <c r="F18" s="93">
        <f>'10.Grain Production details'!E104</f>
        <v>0</v>
      </c>
      <c r="G18" s="93">
        <f>'10.Grain Production details'!F104</f>
        <v>0</v>
      </c>
      <c r="H18" s="93">
        <f>'10.Grain Production details'!G104</f>
        <v>0</v>
      </c>
      <c r="I18" s="93">
        <f>'10.Grain Production details'!H104</f>
        <v>0</v>
      </c>
    </row>
    <row r="19" spans="1:9" x14ac:dyDescent="0.25">
      <c r="A19" s="14" t="str">
        <f>'10.Grain Production details'!A105</f>
        <v>Bengal Gram/Channa</v>
      </c>
      <c r="B19" s="92"/>
      <c r="C19" s="93">
        <f>'10.Grain Production details'!B105</f>
        <v>0</v>
      </c>
      <c r="D19" s="93">
        <f>'10.Grain Production details'!C105</f>
        <v>0</v>
      </c>
      <c r="E19" s="93">
        <f>'10.Grain Production details'!D105</f>
        <v>0</v>
      </c>
      <c r="F19" s="93">
        <f>'10.Grain Production details'!E105</f>
        <v>0</v>
      </c>
      <c r="G19" s="93">
        <f>'10.Grain Production details'!F105</f>
        <v>0</v>
      </c>
      <c r="H19" s="93">
        <f>'10.Grain Production details'!G105</f>
        <v>0</v>
      </c>
      <c r="I19" s="93">
        <f>'10.Grain Production details'!H105</f>
        <v>0</v>
      </c>
    </row>
    <row r="20" spans="1:9" x14ac:dyDescent="0.25">
      <c r="A20" s="14" t="str">
        <f>'10.Grain Production details'!A106</f>
        <v>Jawar</v>
      </c>
      <c r="B20" s="92"/>
      <c r="C20" s="93">
        <f>'10.Grain Production details'!B106</f>
        <v>0</v>
      </c>
      <c r="D20" s="93">
        <f>'10.Grain Production details'!C106</f>
        <v>0</v>
      </c>
      <c r="E20" s="93">
        <f>'10.Grain Production details'!D106</f>
        <v>0</v>
      </c>
      <c r="F20" s="93">
        <f>'10.Grain Production details'!E106</f>
        <v>0</v>
      </c>
      <c r="G20" s="93">
        <f>'10.Grain Production details'!F106</f>
        <v>0</v>
      </c>
      <c r="H20" s="93">
        <f>'10.Grain Production details'!G106</f>
        <v>0</v>
      </c>
      <c r="I20" s="93">
        <f>'10.Grain Production details'!H106</f>
        <v>0</v>
      </c>
    </row>
    <row r="21" spans="1:9" x14ac:dyDescent="0.25">
      <c r="A21" s="14" t="str">
        <f>'10.Grain Production details'!A107</f>
        <v>Maize</v>
      </c>
      <c r="B21" s="92"/>
      <c r="C21" s="93">
        <f>'10.Grain Production details'!B107</f>
        <v>0</v>
      </c>
      <c r="D21" s="93">
        <f>'10.Grain Production details'!C107</f>
        <v>0</v>
      </c>
      <c r="E21" s="93">
        <f>'10.Grain Production details'!D107</f>
        <v>0</v>
      </c>
      <c r="F21" s="93">
        <f>'10.Grain Production details'!E107</f>
        <v>0</v>
      </c>
      <c r="G21" s="93">
        <f>'10.Grain Production details'!F107</f>
        <v>0</v>
      </c>
      <c r="H21" s="93">
        <f>'10.Grain Production details'!G107</f>
        <v>0</v>
      </c>
      <c r="I21" s="93">
        <f>'10.Grain Production details'!H107</f>
        <v>0</v>
      </c>
    </row>
    <row r="22" spans="1:9" x14ac:dyDescent="0.25">
      <c r="A22" s="14" t="str">
        <f>'10.Grain Production details'!A108</f>
        <v>Safflower</v>
      </c>
      <c r="B22" s="92"/>
      <c r="C22" s="93">
        <f>'10.Grain Production details'!B108</f>
        <v>0</v>
      </c>
      <c r="D22" s="93">
        <f>'10.Grain Production details'!C108</f>
        <v>0</v>
      </c>
      <c r="E22" s="93">
        <f>'10.Grain Production details'!D108</f>
        <v>0</v>
      </c>
      <c r="F22" s="93">
        <f>'10.Grain Production details'!E108</f>
        <v>0</v>
      </c>
      <c r="G22" s="93">
        <f>'10.Grain Production details'!F108</f>
        <v>0</v>
      </c>
      <c r="H22" s="93">
        <f>'10.Grain Production details'!G108</f>
        <v>0</v>
      </c>
      <c r="I22" s="93">
        <f>'10.Grain Production details'!H108</f>
        <v>0</v>
      </c>
    </row>
    <row r="23" spans="1:9" x14ac:dyDescent="0.25">
      <c r="A23" s="14">
        <f>'10.Grain Production details'!A109</f>
        <v>0</v>
      </c>
      <c r="B23" s="92"/>
      <c r="C23" s="93">
        <f>'10.Grain Production details'!B109</f>
        <v>0</v>
      </c>
      <c r="D23" s="93">
        <f>'10.Grain Production details'!C109</f>
        <v>0</v>
      </c>
      <c r="E23" s="93">
        <f>'10.Grain Production details'!D109</f>
        <v>0</v>
      </c>
      <c r="F23" s="93">
        <f>'10.Grain Production details'!E109</f>
        <v>0</v>
      </c>
      <c r="G23" s="93">
        <f>'10.Grain Production details'!F109</f>
        <v>0</v>
      </c>
      <c r="H23" s="93">
        <f>'10.Grain Production details'!G109</f>
        <v>0</v>
      </c>
      <c r="I23" s="93">
        <f>'10.Grain Production details'!H109</f>
        <v>0</v>
      </c>
    </row>
    <row r="24" spans="1:9" x14ac:dyDescent="0.25">
      <c r="A24" s="14">
        <f>'10.Grain Production details'!A110</f>
        <v>0</v>
      </c>
      <c r="B24" s="92"/>
      <c r="C24" s="93">
        <f>'10.Grain Production details'!B110</f>
        <v>0</v>
      </c>
      <c r="D24" s="93">
        <f>'10.Grain Production details'!C110</f>
        <v>0</v>
      </c>
      <c r="E24" s="93">
        <f>'10.Grain Production details'!D110</f>
        <v>0</v>
      </c>
      <c r="F24" s="93">
        <f>'10.Grain Production details'!E110</f>
        <v>0</v>
      </c>
      <c r="G24" s="93">
        <f>'10.Grain Production details'!F110</f>
        <v>0</v>
      </c>
      <c r="H24" s="93">
        <f>'10.Grain Production details'!G110</f>
        <v>0</v>
      </c>
      <c r="I24" s="93">
        <f>'10.Grain Production details'!H110</f>
        <v>0</v>
      </c>
    </row>
    <row r="25" spans="1:9" x14ac:dyDescent="0.25">
      <c r="A25" s="14">
        <f>'10.Grain Production details'!A111</f>
        <v>0</v>
      </c>
      <c r="B25" s="92"/>
      <c r="C25" s="93">
        <f>'10.Grain Production details'!B111</f>
        <v>0</v>
      </c>
      <c r="D25" s="93">
        <f>'10.Grain Production details'!C111</f>
        <v>0</v>
      </c>
      <c r="E25" s="93">
        <f>'10.Grain Production details'!D111</f>
        <v>0</v>
      </c>
      <c r="F25" s="93">
        <f>'10.Grain Production details'!E111</f>
        <v>0</v>
      </c>
      <c r="G25" s="93">
        <f>'10.Grain Production details'!F111</f>
        <v>0</v>
      </c>
      <c r="H25" s="93">
        <f>'10.Grain Production details'!G111</f>
        <v>0</v>
      </c>
      <c r="I25" s="93">
        <f>'10.Grain Production details'!H111</f>
        <v>0</v>
      </c>
    </row>
    <row r="26" spans="1:9" x14ac:dyDescent="0.25">
      <c r="A26" s="27" t="str">
        <f>'10.Grain Production details'!A33</f>
        <v>Summer</v>
      </c>
      <c r="B26" s="92"/>
      <c r="C26" s="93"/>
      <c r="D26" s="93"/>
      <c r="E26" s="93"/>
      <c r="F26" s="93"/>
      <c r="G26" s="93"/>
      <c r="H26" s="93"/>
      <c r="I26" s="93"/>
    </row>
    <row r="27" spans="1:9" x14ac:dyDescent="0.25">
      <c r="A27" s="14" t="str">
        <f>'10.Grain Production details'!A112</f>
        <v>Groundnut</v>
      </c>
      <c r="B27" s="92"/>
      <c r="C27" s="93">
        <f>'10.Grain Production details'!B113</f>
        <v>0</v>
      </c>
      <c r="D27" s="93">
        <f>'10.Grain Production details'!C113</f>
        <v>0</v>
      </c>
      <c r="E27" s="93">
        <f>'10.Grain Production details'!D113</f>
        <v>0</v>
      </c>
      <c r="F27" s="93">
        <f>'10.Grain Production details'!E113</f>
        <v>0</v>
      </c>
      <c r="G27" s="93">
        <f>'10.Grain Production details'!F113</f>
        <v>0</v>
      </c>
      <c r="H27" s="93">
        <f>'10.Grain Production details'!G113</f>
        <v>0</v>
      </c>
      <c r="I27" s="93">
        <f>'10.Grain Production details'!H113</f>
        <v>0</v>
      </c>
    </row>
    <row r="28" spans="1:9" x14ac:dyDescent="0.25">
      <c r="A28" s="14">
        <f>'10.Grain Production details'!A113</f>
        <v>0</v>
      </c>
      <c r="B28" s="92"/>
      <c r="C28" s="93">
        <f>'10.Grain Production details'!B114</f>
        <v>0</v>
      </c>
      <c r="D28" s="93">
        <f>'10.Grain Production details'!C114</f>
        <v>0</v>
      </c>
      <c r="E28" s="93">
        <f>'10.Grain Production details'!D114</f>
        <v>0</v>
      </c>
      <c r="F28" s="93">
        <f>'10.Grain Production details'!E114</f>
        <v>0</v>
      </c>
      <c r="G28" s="93">
        <f>'10.Grain Production details'!F114</f>
        <v>0</v>
      </c>
      <c r="H28" s="93">
        <f>'10.Grain Production details'!G114</f>
        <v>0</v>
      </c>
      <c r="I28" s="93">
        <f>'10.Grain Production details'!H114</f>
        <v>0</v>
      </c>
    </row>
    <row r="29" spans="1:9" x14ac:dyDescent="0.25">
      <c r="A29" s="14">
        <f>'10.Grain Production details'!A114</f>
        <v>0</v>
      </c>
      <c r="B29" s="92"/>
      <c r="C29" s="93">
        <f>'10.Grain Production details'!B115</f>
        <v>0</v>
      </c>
      <c r="D29" s="93">
        <f>'10.Grain Production details'!C115</f>
        <v>0</v>
      </c>
      <c r="E29" s="93">
        <f>'10.Grain Production details'!D115</f>
        <v>0</v>
      </c>
      <c r="F29" s="93">
        <f>'10.Grain Production details'!E115</f>
        <v>0</v>
      </c>
      <c r="G29" s="93">
        <f>'10.Grain Production details'!F115</f>
        <v>0</v>
      </c>
      <c r="H29" s="93">
        <f>'10.Grain Production details'!G115</f>
        <v>0</v>
      </c>
      <c r="I29" s="93">
        <f>'10.Grain Production details'!H115</f>
        <v>0</v>
      </c>
    </row>
    <row r="30" spans="1:9" x14ac:dyDescent="0.25">
      <c r="A30" s="14">
        <f>'10.Grain Production details'!A115</f>
        <v>0</v>
      </c>
      <c r="B30" s="92"/>
      <c r="C30" s="93">
        <f>'10.Grain Production details'!B116</f>
        <v>0</v>
      </c>
      <c r="D30" s="93">
        <f>'10.Grain Production details'!C116</f>
        <v>0</v>
      </c>
      <c r="E30" s="93">
        <f>'10.Grain Production details'!D116</f>
        <v>0</v>
      </c>
      <c r="F30" s="93">
        <f>'10.Grain Production details'!E116</f>
        <v>0</v>
      </c>
      <c r="G30" s="93">
        <f>'10.Grain Production details'!F116</f>
        <v>0</v>
      </c>
      <c r="H30" s="93">
        <f>'10.Grain Production details'!G116</f>
        <v>0</v>
      </c>
      <c r="I30" s="93">
        <f>'10.Grain Production details'!H116</f>
        <v>0</v>
      </c>
    </row>
    <row r="31" spans="1:9" x14ac:dyDescent="0.25">
      <c r="A31" s="14">
        <f>'10.Grain Production details'!A116</f>
        <v>0</v>
      </c>
      <c r="B31" s="92"/>
      <c r="C31" s="93">
        <f>'10.Grain Production details'!C117</f>
        <v>0</v>
      </c>
      <c r="D31" s="93">
        <f>'10.Grain Production details'!D117</f>
        <v>0</v>
      </c>
      <c r="E31" s="93">
        <f>'10.Grain Production details'!E117</f>
        <v>0</v>
      </c>
      <c r="F31" s="93">
        <f>'10.Grain Production details'!F117</f>
        <v>0</v>
      </c>
      <c r="G31" s="93">
        <f>'10.Grain Production details'!G117</f>
        <v>0</v>
      </c>
      <c r="H31" s="93">
        <f>'10.Grain Production details'!H117</f>
        <v>0</v>
      </c>
      <c r="I31" s="93">
        <f>'10.Grain Production details'!I117</f>
        <v>0</v>
      </c>
    </row>
    <row r="32" spans="1:9" x14ac:dyDescent="0.25">
      <c r="A32" s="27" t="str">
        <f>'11.F&amp;V Crop Production details'!A1:H1</f>
        <v>Fruit  &amp; Vegetables Crop Production Details</v>
      </c>
      <c r="B32" s="92"/>
      <c r="C32" s="93"/>
      <c r="D32" s="93"/>
      <c r="E32" s="93"/>
      <c r="F32" s="93"/>
      <c r="G32" s="93"/>
      <c r="H32" s="93"/>
      <c r="I32" s="93"/>
    </row>
    <row r="33" spans="1:9" x14ac:dyDescent="0.25">
      <c r="A33" s="14" t="str">
        <f>'11.F&amp;V Crop Production details'!A102</f>
        <v>Onion</v>
      </c>
      <c r="B33" s="92"/>
      <c r="C33" s="93">
        <f>'11.F&amp;V Crop Production details'!B102</f>
        <v>0</v>
      </c>
      <c r="D33" s="93">
        <f>'11.F&amp;V Crop Production details'!C102</f>
        <v>0</v>
      </c>
      <c r="E33" s="93">
        <f>'11.F&amp;V Crop Production details'!D102</f>
        <v>0</v>
      </c>
      <c r="F33" s="93">
        <f>'11.F&amp;V Crop Production details'!E102</f>
        <v>0</v>
      </c>
      <c r="G33" s="93">
        <f>'11.F&amp;V Crop Production details'!F102</f>
        <v>0</v>
      </c>
      <c r="H33" s="93">
        <f>'11.F&amp;V Crop Production details'!G102</f>
        <v>0</v>
      </c>
      <c r="I33" s="93">
        <f>'11.F&amp;V Crop Production details'!H102</f>
        <v>0</v>
      </c>
    </row>
    <row r="34" spans="1:9" x14ac:dyDescent="0.25">
      <c r="A34" s="14" t="str">
        <f>'11.F&amp;V Crop Production details'!A103</f>
        <v>Tomato</v>
      </c>
      <c r="B34" s="92"/>
      <c r="C34" s="93">
        <f>'11.F&amp;V Crop Production details'!B103</f>
        <v>0</v>
      </c>
      <c r="D34" s="93">
        <f>'11.F&amp;V Crop Production details'!C103</f>
        <v>0</v>
      </c>
      <c r="E34" s="93">
        <f>'11.F&amp;V Crop Production details'!D103</f>
        <v>0</v>
      </c>
      <c r="F34" s="93">
        <f>'11.F&amp;V Crop Production details'!E103</f>
        <v>0</v>
      </c>
      <c r="G34" s="93">
        <f>'11.F&amp;V Crop Production details'!F103</f>
        <v>0</v>
      </c>
      <c r="H34" s="93">
        <f>'11.F&amp;V Crop Production details'!G103</f>
        <v>0</v>
      </c>
      <c r="I34" s="93">
        <f>'11.F&amp;V Crop Production details'!H103</f>
        <v>0</v>
      </c>
    </row>
    <row r="35" spans="1:9" x14ac:dyDescent="0.25">
      <c r="A35" s="14" t="str">
        <f>'11.F&amp;V Crop Production details'!A104</f>
        <v>Okra</v>
      </c>
      <c r="B35" s="92"/>
      <c r="C35" s="93">
        <f>'11.F&amp;V Crop Production details'!B104</f>
        <v>0</v>
      </c>
      <c r="D35" s="93">
        <f>'11.F&amp;V Crop Production details'!C104</f>
        <v>0</v>
      </c>
      <c r="E35" s="93">
        <f>'11.F&amp;V Crop Production details'!D104</f>
        <v>0</v>
      </c>
      <c r="F35" s="93">
        <f>'11.F&amp;V Crop Production details'!E104</f>
        <v>0</v>
      </c>
      <c r="G35" s="93">
        <f>'11.F&amp;V Crop Production details'!F104</f>
        <v>0</v>
      </c>
      <c r="H35" s="93">
        <f>'11.F&amp;V Crop Production details'!G104</f>
        <v>0</v>
      </c>
      <c r="I35" s="93">
        <f>'11.F&amp;V Crop Production details'!H104</f>
        <v>0</v>
      </c>
    </row>
    <row r="36" spans="1:9" x14ac:dyDescent="0.25">
      <c r="A36" s="14" t="str">
        <f>'11.F&amp;V Crop Production details'!A105</f>
        <v>Chilli</v>
      </c>
      <c r="B36" s="92"/>
      <c r="C36" s="93">
        <f>'11.F&amp;V Crop Production details'!B105</f>
        <v>0</v>
      </c>
      <c r="D36" s="93">
        <f>'11.F&amp;V Crop Production details'!C105</f>
        <v>0</v>
      </c>
      <c r="E36" s="93">
        <f>'11.F&amp;V Crop Production details'!D105</f>
        <v>0</v>
      </c>
      <c r="F36" s="93">
        <f>'11.F&amp;V Crop Production details'!E105</f>
        <v>0</v>
      </c>
      <c r="G36" s="93">
        <f>'11.F&amp;V Crop Production details'!F105</f>
        <v>0</v>
      </c>
      <c r="H36" s="93">
        <f>'11.F&amp;V Crop Production details'!G105</f>
        <v>0</v>
      </c>
      <c r="I36" s="93">
        <f>'11.F&amp;V Crop Production details'!H105</f>
        <v>0</v>
      </c>
    </row>
    <row r="37" spans="1:9" x14ac:dyDescent="0.25">
      <c r="A37" s="14" t="str">
        <f>'11.F&amp;V Crop Production details'!A106</f>
        <v>Potato</v>
      </c>
      <c r="B37" s="92"/>
      <c r="C37" s="93">
        <f>'11.F&amp;V Crop Production details'!B106</f>
        <v>0</v>
      </c>
      <c r="D37" s="93">
        <f>'11.F&amp;V Crop Production details'!C106</f>
        <v>0</v>
      </c>
      <c r="E37" s="93">
        <f>'11.F&amp;V Crop Production details'!D106</f>
        <v>0</v>
      </c>
      <c r="F37" s="93">
        <f>'11.F&amp;V Crop Production details'!E106</f>
        <v>0</v>
      </c>
      <c r="G37" s="93">
        <f>'11.F&amp;V Crop Production details'!F106</f>
        <v>0</v>
      </c>
      <c r="H37" s="93">
        <f>'11.F&amp;V Crop Production details'!G106</f>
        <v>0</v>
      </c>
      <c r="I37" s="93">
        <f>'11.F&amp;V Crop Production details'!H106</f>
        <v>0</v>
      </c>
    </row>
    <row r="38" spans="1:9" x14ac:dyDescent="0.25">
      <c r="A38" s="14">
        <f>'11.F&amp;V Crop Production details'!A107</f>
        <v>0</v>
      </c>
      <c r="B38" s="92"/>
      <c r="C38" s="93">
        <f>'11.F&amp;V Crop Production details'!B107</f>
        <v>0</v>
      </c>
      <c r="D38" s="93">
        <f>'11.F&amp;V Crop Production details'!C107</f>
        <v>0</v>
      </c>
      <c r="E38" s="93">
        <f>'11.F&amp;V Crop Production details'!D107</f>
        <v>0</v>
      </c>
      <c r="F38" s="93">
        <f>'11.F&amp;V Crop Production details'!E107</f>
        <v>0</v>
      </c>
      <c r="G38" s="93">
        <f>'11.F&amp;V Crop Production details'!F107</f>
        <v>0</v>
      </c>
      <c r="H38" s="93">
        <f>'11.F&amp;V Crop Production details'!G107</f>
        <v>0</v>
      </c>
      <c r="I38" s="93">
        <f>'11.F&amp;V Crop Production details'!H107</f>
        <v>0</v>
      </c>
    </row>
    <row r="39" spans="1:9" x14ac:dyDescent="0.25">
      <c r="A39" s="14">
        <f>'11.F&amp;V Crop Production details'!A108</f>
        <v>0</v>
      </c>
      <c r="B39" s="92"/>
      <c r="C39" s="93">
        <f>'11.F&amp;V Crop Production details'!B108</f>
        <v>0</v>
      </c>
      <c r="D39" s="93">
        <f>'11.F&amp;V Crop Production details'!C108</f>
        <v>0</v>
      </c>
      <c r="E39" s="93">
        <f>'11.F&amp;V Crop Production details'!D108</f>
        <v>0</v>
      </c>
      <c r="F39" s="93">
        <f>'11.F&amp;V Crop Production details'!E108</f>
        <v>0</v>
      </c>
      <c r="G39" s="93">
        <f>'11.F&amp;V Crop Production details'!F108</f>
        <v>0</v>
      </c>
      <c r="H39" s="93">
        <f>'11.F&amp;V Crop Production details'!G108</f>
        <v>0</v>
      </c>
      <c r="I39" s="93">
        <f>'11.F&amp;V Crop Production details'!H108</f>
        <v>0</v>
      </c>
    </row>
    <row r="40" spans="1:9" x14ac:dyDescent="0.25">
      <c r="A40" s="14">
        <f>'11.F&amp;V Crop Production details'!A109</f>
        <v>0</v>
      </c>
      <c r="B40" s="92"/>
      <c r="C40" s="93">
        <f>'11.F&amp;V Crop Production details'!B109</f>
        <v>0</v>
      </c>
      <c r="D40" s="93">
        <f>'11.F&amp;V Crop Production details'!C109</f>
        <v>0</v>
      </c>
      <c r="E40" s="93">
        <f>'11.F&amp;V Crop Production details'!D109</f>
        <v>0</v>
      </c>
      <c r="F40" s="93">
        <f>'11.F&amp;V Crop Production details'!E109</f>
        <v>0</v>
      </c>
      <c r="G40" s="93">
        <f>'11.F&amp;V Crop Production details'!F109</f>
        <v>0</v>
      </c>
      <c r="H40" s="93">
        <f>'11.F&amp;V Crop Production details'!G109</f>
        <v>0</v>
      </c>
      <c r="I40" s="93">
        <f>'11.F&amp;V Crop Production details'!H109</f>
        <v>0</v>
      </c>
    </row>
    <row r="41" spans="1:9" x14ac:dyDescent="0.25">
      <c r="A41" s="14">
        <f>'11.F&amp;V Crop Production details'!A110</f>
        <v>0</v>
      </c>
      <c r="B41" s="92"/>
      <c r="C41" s="93">
        <f>'11.F&amp;V Crop Production details'!B110</f>
        <v>0</v>
      </c>
      <c r="D41" s="93">
        <f>'11.F&amp;V Crop Production details'!C110</f>
        <v>0</v>
      </c>
      <c r="E41" s="93">
        <f>'11.F&amp;V Crop Production details'!D110</f>
        <v>0</v>
      </c>
      <c r="F41" s="93">
        <f>'11.F&amp;V Crop Production details'!E110</f>
        <v>0</v>
      </c>
      <c r="G41" s="93">
        <f>'11.F&amp;V Crop Production details'!F110</f>
        <v>0</v>
      </c>
      <c r="H41" s="93">
        <f>'11.F&amp;V Crop Production details'!G110</f>
        <v>0</v>
      </c>
      <c r="I41" s="93">
        <f>'11.F&amp;V Crop Production details'!H110</f>
        <v>0</v>
      </c>
    </row>
    <row r="42" spans="1:9" x14ac:dyDescent="0.25">
      <c r="A42" s="14" t="str">
        <f>'11.F&amp;V Crop Production details'!A111</f>
        <v>Onion</v>
      </c>
      <c r="B42" s="92"/>
      <c r="C42" s="93">
        <f>'11.F&amp;V Crop Production details'!B111</f>
        <v>0</v>
      </c>
      <c r="D42" s="93">
        <f>'11.F&amp;V Crop Production details'!C111</f>
        <v>0</v>
      </c>
      <c r="E42" s="93">
        <f>'11.F&amp;V Crop Production details'!D111</f>
        <v>0</v>
      </c>
      <c r="F42" s="93">
        <f>'11.F&amp;V Crop Production details'!E111</f>
        <v>0</v>
      </c>
      <c r="G42" s="93">
        <f>'11.F&amp;V Crop Production details'!F111</f>
        <v>0</v>
      </c>
      <c r="H42" s="93">
        <f>'11.F&amp;V Crop Production details'!G111</f>
        <v>0</v>
      </c>
      <c r="I42" s="93">
        <f>'11.F&amp;V Crop Production details'!H111</f>
        <v>0</v>
      </c>
    </row>
    <row r="43" spans="1:9" x14ac:dyDescent="0.25">
      <c r="A43" s="14" t="str">
        <f>'11.F&amp;V Crop Production details'!A112</f>
        <v>Tomato</v>
      </c>
      <c r="B43" s="92"/>
      <c r="C43" s="93">
        <f>'11.F&amp;V Crop Production details'!B112</f>
        <v>0</v>
      </c>
      <c r="D43" s="93">
        <f>'11.F&amp;V Crop Production details'!C112</f>
        <v>0</v>
      </c>
      <c r="E43" s="93">
        <f>'11.F&amp;V Crop Production details'!D112</f>
        <v>0</v>
      </c>
      <c r="F43" s="93">
        <f>'11.F&amp;V Crop Production details'!E112</f>
        <v>0</v>
      </c>
      <c r="G43" s="93">
        <f>'11.F&amp;V Crop Production details'!F112</f>
        <v>0</v>
      </c>
      <c r="H43" s="93">
        <f>'11.F&amp;V Crop Production details'!G112</f>
        <v>0</v>
      </c>
      <c r="I43" s="93">
        <f>'11.F&amp;V Crop Production details'!H112</f>
        <v>0</v>
      </c>
    </row>
    <row r="44" spans="1:9" x14ac:dyDescent="0.25">
      <c r="A44" s="14" t="str">
        <f>'11.F&amp;V Crop Production details'!A113</f>
        <v>Okra</v>
      </c>
      <c r="B44" s="92"/>
      <c r="C44" s="93">
        <f>'11.F&amp;V Crop Production details'!B113</f>
        <v>0</v>
      </c>
      <c r="D44" s="93">
        <f>'11.F&amp;V Crop Production details'!C113</f>
        <v>0</v>
      </c>
      <c r="E44" s="93">
        <f>'11.F&amp;V Crop Production details'!D113</f>
        <v>0</v>
      </c>
      <c r="F44" s="93">
        <f>'11.F&amp;V Crop Production details'!E113</f>
        <v>0</v>
      </c>
      <c r="G44" s="93">
        <f>'11.F&amp;V Crop Production details'!F113</f>
        <v>0</v>
      </c>
      <c r="H44" s="93">
        <f>'11.F&amp;V Crop Production details'!G113</f>
        <v>0</v>
      </c>
      <c r="I44" s="93">
        <f>'11.F&amp;V Crop Production details'!H113</f>
        <v>0</v>
      </c>
    </row>
    <row r="45" spans="1:9" x14ac:dyDescent="0.25">
      <c r="A45" s="14" t="str">
        <f>'11.F&amp;V Crop Production details'!A114</f>
        <v>Chilli</v>
      </c>
      <c r="B45" s="92"/>
      <c r="C45" s="93">
        <f>'11.F&amp;V Crop Production details'!B114</f>
        <v>0</v>
      </c>
      <c r="D45" s="93">
        <f>'11.F&amp;V Crop Production details'!C114</f>
        <v>0</v>
      </c>
      <c r="E45" s="93">
        <f>'11.F&amp;V Crop Production details'!D114</f>
        <v>0</v>
      </c>
      <c r="F45" s="93">
        <f>'11.F&amp;V Crop Production details'!E114</f>
        <v>0</v>
      </c>
      <c r="G45" s="93">
        <f>'11.F&amp;V Crop Production details'!F114</f>
        <v>0</v>
      </c>
      <c r="H45" s="93">
        <f>'11.F&amp;V Crop Production details'!G114</f>
        <v>0</v>
      </c>
      <c r="I45" s="93">
        <f>'11.F&amp;V Crop Production details'!H114</f>
        <v>0</v>
      </c>
    </row>
    <row r="46" spans="1:9" x14ac:dyDescent="0.25">
      <c r="A46" s="14" t="str">
        <f>'11.F&amp;V Crop Production details'!A115</f>
        <v>Brinjal</v>
      </c>
      <c r="B46" s="92"/>
      <c r="C46" s="93">
        <f>'11.F&amp;V Crop Production details'!B115</f>
        <v>0</v>
      </c>
      <c r="D46" s="93">
        <f>'11.F&amp;V Crop Production details'!C115</f>
        <v>0</v>
      </c>
      <c r="E46" s="93">
        <f>'11.F&amp;V Crop Production details'!D115</f>
        <v>0</v>
      </c>
      <c r="F46" s="93">
        <f>'11.F&amp;V Crop Production details'!E115</f>
        <v>0</v>
      </c>
      <c r="G46" s="93">
        <f>'11.F&amp;V Crop Production details'!F115</f>
        <v>0</v>
      </c>
      <c r="H46" s="93">
        <f>'11.F&amp;V Crop Production details'!G115</f>
        <v>0</v>
      </c>
      <c r="I46" s="93">
        <f>'11.F&amp;V Crop Production details'!H115</f>
        <v>0</v>
      </c>
    </row>
    <row r="47" spans="1:9" x14ac:dyDescent="0.25">
      <c r="A47" s="14">
        <f>'11.F&amp;V Crop Production details'!A116</f>
        <v>0</v>
      </c>
      <c r="B47" s="92"/>
      <c r="C47" s="93">
        <f>'11.F&amp;V Crop Production details'!B116</f>
        <v>0</v>
      </c>
      <c r="D47" s="93">
        <f>'11.F&amp;V Crop Production details'!C116</f>
        <v>0</v>
      </c>
      <c r="E47" s="93">
        <f>'11.F&amp;V Crop Production details'!D116</f>
        <v>0</v>
      </c>
      <c r="F47" s="93">
        <f>'11.F&amp;V Crop Production details'!E116</f>
        <v>0</v>
      </c>
      <c r="G47" s="93">
        <f>'11.F&amp;V Crop Production details'!F116</f>
        <v>0</v>
      </c>
      <c r="H47" s="93">
        <f>'11.F&amp;V Crop Production details'!G116</f>
        <v>0</v>
      </c>
      <c r="I47" s="93">
        <f>'11.F&amp;V Crop Production details'!H116</f>
        <v>0</v>
      </c>
    </row>
    <row r="48" spans="1:9" x14ac:dyDescent="0.25">
      <c r="A48" s="14">
        <f>'11.F&amp;V Crop Production details'!A117</f>
        <v>0</v>
      </c>
      <c r="B48" s="92"/>
      <c r="C48" s="93">
        <f>'11.F&amp;V Crop Production details'!B117</f>
        <v>0</v>
      </c>
      <c r="D48" s="93">
        <f>'11.F&amp;V Crop Production details'!C117</f>
        <v>0</v>
      </c>
      <c r="E48" s="93">
        <f>'11.F&amp;V Crop Production details'!D117</f>
        <v>0</v>
      </c>
      <c r="F48" s="93">
        <f>'11.F&amp;V Crop Production details'!E117</f>
        <v>0</v>
      </c>
      <c r="G48" s="93">
        <f>'11.F&amp;V Crop Production details'!F117</f>
        <v>0</v>
      </c>
      <c r="H48" s="93">
        <f>'11.F&amp;V Crop Production details'!G117</f>
        <v>0</v>
      </c>
      <c r="I48" s="93">
        <f>'11.F&amp;V Crop Production details'!H117</f>
        <v>0</v>
      </c>
    </row>
    <row r="49" spans="1:9" x14ac:dyDescent="0.25">
      <c r="A49" s="14">
        <f>'11.F&amp;V Crop Production details'!A118</f>
        <v>0</v>
      </c>
      <c r="B49" s="92"/>
      <c r="C49" s="93">
        <f>'11.F&amp;V Crop Production details'!B118</f>
        <v>0</v>
      </c>
      <c r="D49" s="93">
        <f>'11.F&amp;V Crop Production details'!C118</f>
        <v>0</v>
      </c>
      <c r="E49" s="93">
        <f>'11.F&amp;V Crop Production details'!D118</f>
        <v>0</v>
      </c>
      <c r="F49" s="93">
        <f>'11.F&amp;V Crop Production details'!E118</f>
        <v>0</v>
      </c>
      <c r="G49" s="93">
        <f>'11.F&amp;V Crop Production details'!F118</f>
        <v>0</v>
      </c>
      <c r="H49" s="93">
        <f>'11.F&amp;V Crop Production details'!G118</f>
        <v>0</v>
      </c>
      <c r="I49" s="93">
        <f>'11.F&amp;V Crop Production details'!H118</f>
        <v>0</v>
      </c>
    </row>
    <row r="50" spans="1:9" x14ac:dyDescent="0.25">
      <c r="A50" s="14">
        <f>'11.F&amp;V Crop Production details'!A119</f>
        <v>0</v>
      </c>
      <c r="B50" s="92"/>
      <c r="C50" s="93">
        <f>'11.F&amp;V Crop Production details'!B119</f>
        <v>0</v>
      </c>
      <c r="D50" s="93">
        <f>'11.F&amp;V Crop Production details'!C119</f>
        <v>0</v>
      </c>
      <c r="E50" s="93">
        <f>'11.F&amp;V Crop Production details'!D119</f>
        <v>0</v>
      </c>
      <c r="F50" s="93">
        <f>'11.F&amp;V Crop Production details'!E119</f>
        <v>0</v>
      </c>
      <c r="G50" s="93">
        <f>'11.F&amp;V Crop Production details'!F119</f>
        <v>0</v>
      </c>
      <c r="H50" s="93">
        <f>'11.F&amp;V Crop Production details'!G119</f>
        <v>0</v>
      </c>
      <c r="I50" s="93">
        <f>'11.F&amp;V Crop Production details'!H119</f>
        <v>0</v>
      </c>
    </row>
    <row r="51" spans="1:9" x14ac:dyDescent="0.25">
      <c r="A51" s="14">
        <f>'11.F&amp;V Crop Production details'!A120</f>
        <v>0</v>
      </c>
      <c r="B51" s="92"/>
      <c r="C51" s="93">
        <f>'11.F&amp;V Crop Production details'!B120</f>
        <v>0</v>
      </c>
      <c r="D51" s="93">
        <f>'11.F&amp;V Crop Production details'!C120</f>
        <v>0</v>
      </c>
      <c r="E51" s="93">
        <f>'11.F&amp;V Crop Production details'!D120</f>
        <v>0</v>
      </c>
      <c r="F51" s="93">
        <f>'11.F&amp;V Crop Production details'!E120</f>
        <v>0</v>
      </c>
      <c r="G51" s="93">
        <f>'11.F&amp;V Crop Production details'!F120</f>
        <v>0</v>
      </c>
      <c r="H51" s="93">
        <f>'11.F&amp;V Crop Production details'!G120</f>
        <v>0</v>
      </c>
      <c r="I51" s="93">
        <f>'11.F&amp;V Crop Production details'!H120</f>
        <v>0</v>
      </c>
    </row>
    <row r="52" spans="1:9" x14ac:dyDescent="0.25">
      <c r="A52" s="14">
        <f>'11.F&amp;V Crop Production details'!A121</f>
        <v>0</v>
      </c>
      <c r="B52" s="92"/>
      <c r="C52" s="93">
        <f>'11.F&amp;V Crop Production details'!B121</f>
        <v>0</v>
      </c>
      <c r="D52" s="93">
        <f>'11.F&amp;V Crop Production details'!C121</f>
        <v>0</v>
      </c>
      <c r="E52" s="93">
        <f>'11.F&amp;V Crop Production details'!D121</f>
        <v>0</v>
      </c>
      <c r="F52" s="93">
        <f>'11.F&amp;V Crop Production details'!E121</f>
        <v>0</v>
      </c>
      <c r="G52" s="93">
        <f>'11.F&amp;V Crop Production details'!F121</f>
        <v>0</v>
      </c>
      <c r="H52" s="93">
        <f>'11.F&amp;V Crop Production details'!G121</f>
        <v>0</v>
      </c>
      <c r="I52" s="93">
        <f>'11.F&amp;V Crop Production details'!H121</f>
        <v>0</v>
      </c>
    </row>
    <row r="53" spans="1:9" x14ac:dyDescent="0.25">
      <c r="A53" s="14">
        <f>'11.F&amp;V Crop Production details'!A122</f>
        <v>0</v>
      </c>
      <c r="B53" s="92"/>
      <c r="C53" s="93">
        <f>'11.F&amp;V Crop Production details'!B122</f>
        <v>0</v>
      </c>
      <c r="D53" s="93">
        <f>'11.F&amp;V Crop Production details'!C122</f>
        <v>0</v>
      </c>
      <c r="E53" s="93">
        <f>'11.F&amp;V Crop Production details'!D122</f>
        <v>0</v>
      </c>
      <c r="F53" s="93">
        <f>'11.F&amp;V Crop Production details'!E122</f>
        <v>0</v>
      </c>
      <c r="G53" s="93">
        <f>'11.F&amp;V Crop Production details'!F122</f>
        <v>0</v>
      </c>
      <c r="H53" s="93">
        <f>'11.F&amp;V Crop Production details'!G122</f>
        <v>0</v>
      </c>
      <c r="I53" s="93">
        <f>'11.F&amp;V Crop Production details'!H122</f>
        <v>0</v>
      </c>
    </row>
    <row r="54" spans="1:9" x14ac:dyDescent="0.25">
      <c r="A54" s="14" t="str">
        <f>'11.F&amp;V Crop Production details'!A123</f>
        <v>Pomegranate</v>
      </c>
      <c r="B54" s="92"/>
      <c r="C54" s="93">
        <f>'11.F&amp;V Crop Production details'!B123</f>
        <v>0</v>
      </c>
      <c r="D54" s="93">
        <f>'11.F&amp;V Crop Production details'!C123</f>
        <v>0</v>
      </c>
      <c r="E54" s="93">
        <f>'11.F&amp;V Crop Production details'!D123</f>
        <v>0</v>
      </c>
      <c r="F54" s="93">
        <f>'11.F&amp;V Crop Production details'!E123</f>
        <v>0</v>
      </c>
      <c r="G54" s="93">
        <f>'11.F&amp;V Crop Production details'!F123</f>
        <v>0</v>
      </c>
      <c r="H54" s="93">
        <f>'11.F&amp;V Crop Production details'!G123</f>
        <v>0</v>
      </c>
      <c r="I54" s="93">
        <f>'11.F&amp;V Crop Production details'!H123</f>
        <v>0</v>
      </c>
    </row>
    <row r="55" spans="1:9" x14ac:dyDescent="0.25">
      <c r="A55" s="14" t="str">
        <f>'11.F&amp;V Crop Production details'!A124</f>
        <v>Custard Apple</v>
      </c>
      <c r="B55" s="92"/>
      <c r="C55" s="93">
        <f>'11.F&amp;V Crop Production details'!B124</f>
        <v>0</v>
      </c>
      <c r="D55" s="93">
        <f>'11.F&amp;V Crop Production details'!C124</f>
        <v>0</v>
      </c>
      <c r="E55" s="93">
        <f>'11.F&amp;V Crop Production details'!D124</f>
        <v>0</v>
      </c>
      <c r="F55" s="93">
        <f>'11.F&amp;V Crop Production details'!E124</f>
        <v>0</v>
      </c>
      <c r="G55" s="93">
        <f>'11.F&amp;V Crop Production details'!F124</f>
        <v>0</v>
      </c>
      <c r="H55" s="93">
        <f>'11.F&amp;V Crop Production details'!G124</f>
        <v>0</v>
      </c>
      <c r="I55" s="93">
        <f>'11.F&amp;V Crop Production details'!H124</f>
        <v>0</v>
      </c>
    </row>
    <row r="56" spans="1:9" x14ac:dyDescent="0.25">
      <c r="A56" s="14" t="str">
        <f>'11.F&amp;V Crop Production details'!A125</f>
        <v>Guava</v>
      </c>
      <c r="B56" s="92"/>
      <c r="C56" s="93">
        <f>'11.F&amp;V Crop Production details'!B125</f>
        <v>0</v>
      </c>
      <c r="D56" s="93">
        <f>'11.F&amp;V Crop Production details'!C125</f>
        <v>0</v>
      </c>
      <c r="E56" s="93">
        <f>'11.F&amp;V Crop Production details'!D125</f>
        <v>0</v>
      </c>
      <c r="F56" s="93">
        <f>'11.F&amp;V Crop Production details'!E125</f>
        <v>0</v>
      </c>
      <c r="G56" s="93">
        <f>'11.F&amp;V Crop Production details'!F125</f>
        <v>0</v>
      </c>
      <c r="H56" s="93">
        <f>'11.F&amp;V Crop Production details'!G125</f>
        <v>0</v>
      </c>
      <c r="I56" s="93">
        <f>'11.F&amp;V Crop Production details'!H125</f>
        <v>0</v>
      </c>
    </row>
    <row r="57" spans="1:9" x14ac:dyDescent="0.25">
      <c r="A57" s="14" t="str">
        <f>'11.F&amp;V Crop Production details'!A126</f>
        <v>Citrus</v>
      </c>
      <c r="B57" s="92"/>
      <c r="C57" s="93">
        <f>'11.F&amp;V Crop Production details'!B126</f>
        <v>0</v>
      </c>
      <c r="D57" s="93">
        <f>'11.F&amp;V Crop Production details'!C126</f>
        <v>0</v>
      </c>
      <c r="E57" s="93">
        <f>'11.F&amp;V Crop Production details'!D126</f>
        <v>0</v>
      </c>
      <c r="F57" s="93">
        <f>'11.F&amp;V Crop Production details'!E126</f>
        <v>0</v>
      </c>
      <c r="G57" s="93">
        <f>'11.F&amp;V Crop Production details'!F126</f>
        <v>0</v>
      </c>
      <c r="H57" s="93">
        <f>'11.F&amp;V Crop Production details'!G126</f>
        <v>0</v>
      </c>
      <c r="I57" s="93">
        <f>'11.F&amp;V Crop Production details'!H126</f>
        <v>0</v>
      </c>
    </row>
    <row r="58" spans="1:9" x14ac:dyDescent="0.25">
      <c r="A58" s="14"/>
      <c r="B58" s="92"/>
      <c r="C58" s="92"/>
      <c r="D58" s="92"/>
      <c r="E58" s="92"/>
      <c r="F58" s="92"/>
      <c r="G58" s="92"/>
      <c r="H58" s="92"/>
      <c r="I58" s="92"/>
    </row>
    <row r="59" spans="1:9" x14ac:dyDescent="0.25">
      <c r="A59" s="27" t="s">
        <v>182</v>
      </c>
      <c r="B59" s="14"/>
      <c r="C59" s="14"/>
      <c r="D59" s="14"/>
      <c r="E59" s="14"/>
      <c r="F59" s="14"/>
      <c r="G59" s="14"/>
      <c r="H59" s="14"/>
      <c r="I59" s="14"/>
    </row>
    <row r="60" spans="1:9" x14ac:dyDescent="0.25">
      <c r="A60" s="27" t="s">
        <v>183</v>
      </c>
      <c r="B60" s="14"/>
      <c r="C60" s="14"/>
      <c r="D60" s="14"/>
      <c r="E60" s="14"/>
      <c r="F60" s="14"/>
      <c r="G60" s="14"/>
      <c r="H60" s="14"/>
      <c r="I60" s="14"/>
    </row>
    <row r="61" spans="1:9" x14ac:dyDescent="0.25">
      <c r="A61" s="27" t="str">
        <f t="shared" ref="A61:A92" si="0">A8</f>
        <v>Kharif Crops</v>
      </c>
      <c r="B61" s="14"/>
      <c r="C61" s="14"/>
      <c r="D61" s="14"/>
      <c r="E61" s="14"/>
      <c r="F61" s="14"/>
      <c r="G61" s="14"/>
      <c r="H61" s="14"/>
      <c r="I61" s="14"/>
    </row>
    <row r="62" spans="1:9" x14ac:dyDescent="0.25">
      <c r="A62" s="14">
        <f t="shared" si="0"/>
        <v>0</v>
      </c>
      <c r="B62" s="1">
        <v>40</v>
      </c>
      <c r="C62" s="94">
        <f>$B62*C9</f>
        <v>0</v>
      </c>
      <c r="D62" s="94">
        <f>$B62*D9</f>
        <v>0</v>
      </c>
      <c r="E62" s="94">
        <f t="shared" ref="E62:I62" si="1">$B62*E9</f>
        <v>0</v>
      </c>
      <c r="F62" s="94">
        <f t="shared" si="1"/>
        <v>0</v>
      </c>
      <c r="G62" s="94">
        <f t="shared" si="1"/>
        <v>0</v>
      </c>
      <c r="H62" s="94">
        <f t="shared" si="1"/>
        <v>0</v>
      </c>
      <c r="I62" s="94">
        <f t="shared" si="1"/>
        <v>0</v>
      </c>
    </row>
    <row r="63" spans="1:9" x14ac:dyDescent="0.25">
      <c r="A63" s="14" t="str">
        <f t="shared" si="0"/>
        <v>Red Gram/Tur</v>
      </c>
      <c r="B63" s="1">
        <v>5</v>
      </c>
      <c r="C63" s="94">
        <f>$B63*C10</f>
        <v>0</v>
      </c>
      <c r="D63" s="94">
        <f t="shared" ref="D63:I63" si="2">$B$63*D10</f>
        <v>0</v>
      </c>
      <c r="E63" s="94">
        <f t="shared" si="2"/>
        <v>0</v>
      </c>
      <c r="F63" s="94">
        <f t="shared" si="2"/>
        <v>0</v>
      </c>
      <c r="G63" s="94">
        <f t="shared" si="2"/>
        <v>0</v>
      </c>
      <c r="H63" s="94">
        <f t="shared" si="2"/>
        <v>0</v>
      </c>
      <c r="I63" s="94">
        <f t="shared" si="2"/>
        <v>0</v>
      </c>
    </row>
    <row r="64" spans="1:9" x14ac:dyDescent="0.25">
      <c r="A64" s="14" t="str">
        <f t="shared" si="0"/>
        <v>Paddy/Rice</v>
      </c>
      <c r="B64" s="1">
        <v>15</v>
      </c>
      <c r="C64" s="94">
        <f>$B64*C11</f>
        <v>0</v>
      </c>
      <c r="D64" s="94">
        <f t="shared" ref="D64:I64" si="3">$B$64*D11</f>
        <v>0</v>
      </c>
      <c r="E64" s="94">
        <f t="shared" si="3"/>
        <v>0</v>
      </c>
      <c r="F64" s="94">
        <f t="shared" si="3"/>
        <v>0</v>
      </c>
      <c r="G64" s="94">
        <f t="shared" si="3"/>
        <v>0</v>
      </c>
      <c r="H64" s="94">
        <f t="shared" si="3"/>
        <v>0</v>
      </c>
      <c r="I64" s="94">
        <f t="shared" si="3"/>
        <v>0</v>
      </c>
    </row>
    <row r="65" spans="1:9" x14ac:dyDescent="0.25">
      <c r="A65" s="14" t="str">
        <f t="shared" si="0"/>
        <v>Green Gram/ Moong</v>
      </c>
      <c r="B65" s="1">
        <v>15</v>
      </c>
      <c r="C65" s="94">
        <f>$B65*C12</f>
        <v>0</v>
      </c>
      <c r="D65" s="94">
        <f t="shared" ref="D65:I67" si="4">$B65*D12</f>
        <v>0</v>
      </c>
      <c r="E65" s="94">
        <f t="shared" si="4"/>
        <v>0</v>
      </c>
      <c r="F65" s="94">
        <f t="shared" si="4"/>
        <v>0</v>
      </c>
      <c r="G65" s="94">
        <f t="shared" si="4"/>
        <v>0</v>
      </c>
      <c r="H65" s="94">
        <f t="shared" si="4"/>
        <v>0</v>
      </c>
      <c r="I65" s="94">
        <f t="shared" si="4"/>
        <v>0</v>
      </c>
    </row>
    <row r="66" spans="1:9" x14ac:dyDescent="0.25">
      <c r="A66" s="14" t="str">
        <f t="shared" si="0"/>
        <v>Maize</v>
      </c>
      <c r="B66" s="1">
        <v>25</v>
      </c>
      <c r="C66" s="94">
        <f>$B66*C13</f>
        <v>0</v>
      </c>
      <c r="D66" s="94">
        <f t="shared" si="4"/>
        <v>0</v>
      </c>
      <c r="E66" s="94">
        <f t="shared" si="4"/>
        <v>0</v>
      </c>
      <c r="F66" s="94">
        <f t="shared" si="4"/>
        <v>0</v>
      </c>
      <c r="G66" s="94">
        <f t="shared" si="4"/>
        <v>0</v>
      </c>
      <c r="H66" s="94">
        <f t="shared" si="4"/>
        <v>0</v>
      </c>
      <c r="I66" s="94">
        <f t="shared" si="4"/>
        <v>0</v>
      </c>
    </row>
    <row r="67" spans="1:9" x14ac:dyDescent="0.25">
      <c r="A67" s="14" t="str">
        <f t="shared" si="0"/>
        <v>Black Gram/Udid</v>
      </c>
      <c r="B67" s="1">
        <v>15</v>
      </c>
      <c r="C67" s="94">
        <f>$B67*C14</f>
        <v>0</v>
      </c>
      <c r="D67" s="94">
        <f t="shared" si="4"/>
        <v>0</v>
      </c>
      <c r="E67" s="94">
        <f t="shared" si="4"/>
        <v>0</v>
      </c>
      <c r="F67" s="94">
        <f t="shared" si="4"/>
        <v>0</v>
      </c>
      <c r="G67" s="94">
        <f t="shared" si="4"/>
        <v>0</v>
      </c>
      <c r="H67" s="94">
        <f t="shared" si="4"/>
        <v>0</v>
      </c>
      <c r="I67" s="94">
        <f t="shared" si="4"/>
        <v>0</v>
      </c>
    </row>
    <row r="68" spans="1:9" x14ac:dyDescent="0.25">
      <c r="A68" s="14" t="str">
        <f t="shared" si="0"/>
        <v>Bajra</v>
      </c>
      <c r="B68" s="1">
        <v>5</v>
      </c>
      <c r="C68" s="94">
        <f t="shared" ref="C68:I68" si="5">$B68*C15</f>
        <v>0</v>
      </c>
      <c r="D68" s="94">
        <f t="shared" si="5"/>
        <v>0</v>
      </c>
      <c r="E68" s="94">
        <f t="shared" si="5"/>
        <v>0</v>
      </c>
      <c r="F68" s="94">
        <f t="shared" si="5"/>
        <v>0</v>
      </c>
      <c r="G68" s="94">
        <f t="shared" si="5"/>
        <v>0</v>
      </c>
      <c r="H68" s="94">
        <f t="shared" si="5"/>
        <v>0</v>
      </c>
      <c r="I68" s="94">
        <f t="shared" si="5"/>
        <v>0</v>
      </c>
    </row>
    <row r="69" spans="1:9" x14ac:dyDescent="0.25">
      <c r="A69" s="14" t="str">
        <f t="shared" si="0"/>
        <v>Jawar</v>
      </c>
      <c r="B69" s="1">
        <v>5</v>
      </c>
      <c r="C69" s="94">
        <f t="shared" ref="C69:I69" si="6">$B69*C16</f>
        <v>0</v>
      </c>
      <c r="D69" s="94">
        <f t="shared" si="6"/>
        <v>0</v>
      </c>
      <c r="E69" s="94">
        <f t="shared" si="6"/>
        <v>0</v>
      </c>
      <c r="F69" s="94">
        <f t="shared" si="6"/>
        <v>0</v>
      </c>
      <c r="G69" s="94">
        <f t="shared" si="6"/>
        <v>0</v>
      </c>
      <c r="H69" s="94">
        <f t="shared" si="6"/>
        <v>0</v>
      </c>
      <c r="I69" s="94">
        <f t="shared" si="6"/>
        <v>0</v>
      </c>
    </row>
    <row r="70" spans="1:9" x14ac:dyDescent="0.25">
      <c r="A70" s="27" t="str">
        <f t="shared" si="0"/>
        <v>Rabi Crop</v>
      </c>
      <c r="B70" s="1"/>
      <c r="C70" s="94"/>
      <c r="D70" s="94"/>
      <c r="E70" s="94"/>
      <c r="F70" s="94"/>
      <c r="G70" s="94"/>
      <c r="H70" s="94"/>
      <c r="I70" s="94"/>
    </row>
    <row r="71" spans="1:9" x14ac:dyDescent="0.25">
      <c r="A71" s="14" t="str">
        <f t="shared" si="0"/>
        <v>Wheat</v>
      </c>
      <c r="B71" s="1">
        <v>20</v>
      </c>
      <c r="C71" s="94">
        <f t="shared" ref="C71:I71" si="7">$B71*C18</f>
        <v>0</v>
      </c>
      <c r="D71" s="94">
        <f t="shared" si="7"/>
        <v>0</v>
      </c>
      <c r="E71" s="94">
        <f t="shared" si="7"/>
        <v>0</v>
      </c>
      <c r="F71" s="94">
        <f t="shared" si="7"/>
        <v>0</v>
      </c>
      <c r="G71" s="94">
        <f t="shared" si="7"/>
        <v>0</v>
      </c>
      <c r="H71" s="94">
        <f t="shared" si="7"/>
        <v>0</v>
      </c>
      <c r="I71" s="94">
        <f t="shared" si="7"/>
        <v>0</v>
      </c>
    </row>
    <row r="72" spans="1:9" x14ac:dyDescent="0.25">
      <c r="A72" s="14" t="str">
        <f t="shared" si="0"/>
        <v>Bengal Gram/Channa</v>
      </c>
      <c r="B72" s="1">
        <v>25</v>
      </c>
      <c r="C72" s="94">
        <f t="shared" ref="C72:I72" si="8">$B72*C19</f>
        <v>0</v>
      </c>
      <c r="D72" s="94">
        <f t="shared" si="8"/>
        <v>0</v>
      </c>
      <c r="E72" s="94">
        <f t="shared" si="8"/>
        <v>0</v>
      </c>
      <c r="F72" s="94">
        <f t="shared" si="8"/>
        <v>0</v>
      </c>
      <c r="G72" s="94">
        <f t="shared" si="8"/>
        <v>0</v>
      </c>
      <c r="H72" s="94">
        <f t="shared" si="8"/>
        <v>0</v>
      </c>
      <c r="I72" s="94">
        <f t="shared" si="8"/>
        <v>0</v>
      </c>
    </row>
    <row r="73" spans="1:9" x14ac:dyDescent="0.25">
      <c r="A73" s="14" t="str">
        <f t="shared" si="0"/>
        <v>Jawar</v>
      </c>
      <c r="B73" s="1">
        <v>5</v>
      </c>
      <c r="C73" s="94">
        <f t="shared" ref="C73:I73" si="9">$B73*C20</f>
        <v>0</v>
      </c>
      <c r="D73" s="94">
        <f t="shared" si="9"/>
        <v>0</v>
      </c>
      <c r="E73" s="94">
        <f t="shared" si="9"/>
        <v>0</v>
      </c>
      <c r="F73" s="94">
        <f t="shared" si="9"/>
        <v>0</v>
      </c>
      <c r="G73" s="94">
        <f t="shared" si="9"/>
        <v>0</v>
      </c>
      <c r="H73" s="94">
        <f t="shared" si="9"/>
        <v>0</v>
      </c>
      <c r="I73" s="94">
        <f t="shared" si="9"/>
        <v>0</v>
      </c>
    </row>
    <row r="74" spans="1:9" x14ac:dyDescent="0.25">
      <c r="A74" s="14" t="str">
        <f t="shared" si="0"/>
        <v>Maize</v>
      </c>
      <c r="B74" s="1">
        <v>20</v>
      </c>
      <c r="C74" s="94">
        <f t="shared" ref="C74:I74" si="10">$B74*C21</f>
        <v>0</v>
      </c>
      <c r="D74" s="94">
        <f t="shared" si="10"/>
        <v>0</v>
      </c>
      <c r="E74" s="94">
        <f t="shared" si="10"/>
        <v>0</v>
      </c>
      <c r="F74" s="94">
        <f t="shared" si="10"/>
        <v>0</v>
      </c>
      <c r="G74" s="94">
        <f t="shared" si="10"/>
        <v>0</v>
      </c>
      <c r="H74" s="94">
        <f t="shared" si="10"/>
        <v>0</v>
      </c>
      <c r="I74" s="94">
        <f t="shared" si="10"/>
        <v>0</v>
      </c>
    </row>
    <row r="75" spans="1:9" x14ac:dyDescent="0.25">
      <c r="A75" s="14" t="str">
        <f t="shared" si="0"/>
        <v>Safflower</v>
      </c>
      <c r="B75" s="1"/>
      <c r="C75" s="94">
        <f t="shared" ref="C75:I75" si="11">$B75*C22</f>
        <v>0</v>
      </c>
      <c r="D75" s="94">
        <f t="shared" si="11"/>
        <v>0</v>
      </c>
      <c r="E75" s="94">
        <f t="shared" si="11"/>
        <v>0</v>
      </c>
      <c r="F75" s="94">
        <f t="shared" si="11"/>
        <v>0</v>
      </c>
      <c r="G75" s="94">
        <f t="shared" si="11"/>
        <v>0</v>
      </c>
      <c r="H75" s="94">
        <f t="shared" si="11"/>
        <v>0</v>
      </c>
      <c r="I75" s="94">
        <f t="shared" si="11"/>
        <v>0</v>
      </c>
    </row>
    <row r="76" spans="1:9" x14ac:dyDescent="0.25">
      <c r="A76" s="14">
        <f t="shared" si="0"/>
        <v>0</v>
      </c>
      <c r="B76" s="1"/>
      <c r="C76" s="94">
        <f t="shared" ref="C76:I76" si="12">$B76*C23</f>
        <v>0</v>
      </c>
      <c r="D76" s="94">
        <f t="shared" si="12"/>
        <v>0</v>
      </c>
      <c r="E76" s="94">
        <f t="shared" si="12"/>
        <v>0</v>
      </c>
      <c r="F76" s="94">
        <f t="shared" si="12"/>
        <v>0</v>
      </c>
      <c r="G76" s="94">
        <f t="shared" si="12"/>
        <v>0</v>
      </c>
      <c r="H76" s="94">
        <f t="shared" si="12"/>
        <v>0</v>
      </c>
      <c r="I76" s="94">
        <f t="shared" si="12"/>
        <v>0</v>
      </c>
    </row>
    <row r="77" spans="1:9" x14ac:dyDescent="0.25">
      <c r="A77" s="14">
        <f t="shared" si="0"/>
        <v>0</v>
      </c>
      <c r="B77" s="1"/>
      <c r="C77" s="94">
        <f t="shared" ref="C77:I77" si="13">$B77*C24</f>
        <v>0</v>
      </c>
      <c r="D77" s="94">
        <f t="shared" si="13"/>
        <v>0</v>
      </c>
      <c r="E77" s="94">
        <f t="shared" si="13"/>
        <v>0</v>
      </c>
      <c r="F77" s="94">
        <f t="shared" si="13"/>
        <v>0</v>
      </c>
      <c r="G77" s="94">
        <f t="shared" si="13"/>
        <v>0</v>
      </c>
      <c r="H77" s="94">
        <f t="shared" si="13"/>
        <v>0</v>
      </c>
      <c r="I77" s="94">
        <f t="shared" si="13"/>
        <v>0</v>
      </c>
    </row>
    <row r="78" spans="1:9" x14ac:dyDescent="0.25">
      <c r="A78" s="14">
        <f t="shared" si="0"/>
        <v>0</v>
      </c>
      <c r="B78" s="1"/>
      <c r="C78" s="94">
        <f t="shared" ref="C78:I78" si="14">$B78*C25</f>
        <v>0</v>
      </c>
      <c r="D78" s="94">
        <f t="shared" si="14"/>
        <v>0</v>
      </c>
      <c r="E78" s="94">
        <f t="shared" si="14"/>
        <v>0</v>
      </c>
      <c r="F78" s="94">
        <f t="shared" si="14"/>
        <v>0</v>
      </c>
      <c r="G78" s="94">
        <f t="shared" si="14"/>
        <v>0</v>
      </c>
      <c r="H78" s="94">
        <f t="shared" si="14"/>
        <v>0</v>
      </c>
      <c r="I78" s="94">
        <f t="shared" si="14"/>
        <v>0</v>
      </c>
    </row>
    <row r="79" spans="1:9" x14ac:dyDescent="0.25">
      <c r="A79" s="27" t="str">
        <f t="shared" si="0"/>
        <v>Summer</v>
      </c>
      <c r="B79" s="1"/>
      <c r="C79" s="94"/>
      <c r="D79" s="94"/>
      <c r="E79" s="94"/>
      <c r="F79" s="94"/>
      <c r="G79" s="94"/>
      <c r="H79" s="94"/>
      <c r="I79" s="94"/>
    </row>
    <row r="80" spans="1:9" x14ac:dyDescent="0.25">
      <c r="A80" s="14" t="str">
        <f t="shared" si="0"/>
        <v>Groundnut</v>
      </c>
      <c r="B80" s="1"/>
      <c r="C80" s="94">
        <f t="shared" ref="C80:I80" si="15">$B80*C27</f>
        <v>0</v>
      </c>
      <c r="D80" s="94">
        <f t="shared" si="15"/>
        <v>0</v>
      </c>
      <c r="E80" s="94">
        <f t="shared" si="15"/>
        <v>0</v>
      </c>
      <c r="F80" s="94">
        <f t="shared" si="15"/>
        <v>0</v>
      </c>
      <c r="G80" s="94">
        <f t="shared" si="15"/>
        <v>0</v>
      </c>
      <c r="H80" s="94">
        <f t="shared" si="15"/>
        <v>0</v>
      </c>
      <c r="I80" s="94">
        <f t="shared" si="15"/>
        <v>0</v>
      </c>
    </row>
    <row r="81" spans="1:9" x14ac:dyDescent="0.25">
      <c r="A81" s="14">
        <f t="shared" si="0"/>
        <v>0</v>
      </c>
      <c r="B81" s="1"/>
      <c r="C81" s="94">
        <f t="shared" ref="C81:I81" si="16">$B81*C28</f>
        <v>0</v>
      </c>
      <c r="D81" s="94">
        <f t="shared" si="16"/>
        <v>0</v>
      </c>
      <c r="E81" s="94">
        <f t="shared" si="16"/>
        <v>0</v>
      </c>
      <c r="F81" s="94">
        <f t="shared" si="16"/>
        <v>0</v>
      </c>
      <c r="G81" s="94">
        <f t="shared" si="16"/>
        <v>0</v>
      </c>
      <c r="H81" s="94">
        <f t="shared" si="16"/>
        <v>0</v>
      </c>
      <c r="I81" s="94">
        <f t="shared" si="16"/>
        <v>0</v>
      </c>
    </row>
    <row r="82" spans="1:9" x14ac:dyDescent="0.25">
      <c r="A82" s="14">
        <f t="shared" si="0"/>
        <v>0</v>
      </c>
      <c r="B82" s="1"/>
      <c r="C82" s="94">
        <f t="shared" ref="C82:I82" si="17">$B82*C29</f>
        <v>0</v>
      </c>
      <c r="D82" s="94">
        <f t="shared" si="17"/>
        <v>0</v>
      </c>
      <c r="E82" s="94">
        <f t="shared" si="17"/>
        <v>0</v>
      </c>
      <c r="F82" s="94">
        <f t="shared" si="17"/>
        <v>0</v>
      </c>
      <c r="G82" s="94">
        <f t="shared" si="17"/>
        <v>0</v>
      </c>
      <c r="H82" s="94">
        <f t="shared" si="17"/>
        <v>0</v>
      </c>
      <c r="I82" s="94">
        <f t="shared" si="17"/>
        <v>0</v>
      </c>
    </row>
    <row r="83" spans="1:9" x14ac:dyDescent="0.25">
      <c r="A83" s="14">
        <f t="shared" si="0"/>
        <v>0</v>
      </c>
      <c r="B83" s="1"/>
      <c r="C83" s="94">
        <f t="shared" ref="C83:I83" si="18">$B83*C30</f>
        <v>0</v>
      </c>
      <c r="D83" s="94">
        <f t="shared" si="18"/>
        <v>0</v>
      </c>
      <c r="E83" s="94">
        <f t="shared" si="18"/>
        <v>0</v>
      </c>
      <c r="F83" s="94">
        <f t="shared" si="18"/>
        <v>0</v>
      </c>
      <c r="G83" s="94">
        <f t="shared" si="18"/>
        <v>0</v>
      </c>
      <c r="H83" s="94">
        <f t="shared" si="18"/>
        <v>0</v>
      </c>
      <c r="I83" s="94">
        <f t="shared" si="18"/>
        <v>0</v>
      </c>
    </row>
    <row r="84" spans="1:9" x14ac:dyDescent="0.25">
      <c r="A84" s="14">
        <f t="shared" si="0"/>
        <v>0</v>
      </c>
      <c r="B84" s="1"/>
      <c r="C84" s="94">
        <f t="shared" ref="C84:I84" si="19">$B84*C31</f>
        <v>0</v>
      </c>
      <c r="D84" s="94">
        <f t="shared" si="19"/>
        <v>0</v>
      </c>
      <c r="E84" s="94">
        <f t="shared" si="19"/>
        <v>0</v>
      </c>
      <c r="F84" s="94">
        <f t="shared" si="19"/>
        <v>0</v>
      </c>
      <c r="G84" s="94">
        <f t="shared" si="19"/>
        <v>0</v>
      </c>
      <c r="H84" s="94">
        <f t="shared" si="19"/>
        <v>0</v>
      </c>
      <c r="I84" s="94">
        <f t="shared" si="19"/>
        <v>0</v>
      </c>
    </row>
    <row r="85" spans="1:9" x14ac:dyDescent="0.25">
      <c r="A85" s="27" t="str">
        <f t="shared" si="0"/>
        <v>Fruit  &amp; Vegetables Crop Production Details</v>
      </c>
      <c r="B85" s="1"/>
      <c r="C85" s="94"/>
      <c r="D85" s="94"/>
      <c r="E85" s="94"/>
      <c r="F85" s="94"/>
      <c r="G85" s="94"/>
      <c r="H85" s="94"/>
      <c r="I85" s="94"/>
    </row>
    <row r="86" spans="1:9" x14ac:dyDescent="0.25">
      <c r="A86" s="14" t="str">
        <f t="shared" si="0"/>
        <v>Onion</v>
      </c>
      <c r="B86" s="1"/>
      <c r="C86" s="94">
        <f t="shared" ref="C86:I86" si="20">$B86*C33</f>
        <v>0</v>
      </c>
      <c r="D86" s="94">
        <f t="shared" si="20"/>
        <v>0</v>
      </c>
      <c r="E86" s="94">
        <f t="shared" si="20"/>
        <v>0</v>
      </c>
      <c r="F86" s="94">
        <f t="shared" si="20"/>
        <v>0</v>
      </c>
      <c r="G86" s="94">
        <f t="shared" si="20"/>
        <v>0</v>
      </c>
      <c r="H86" s="94">
        <f t="shared" si="20"/>
        <v>0</v>
      </c>
      <c r="I86" s="94">
        <f t="shared" si="20"/>
        <v>0</v>
      </c>
    </row>
    <row r="87" spans="1:9" x14ac:dyDescent="0.25">
      <c r="A87" s="14" t="str">
        <f t="shared" si="0"/>
        <v>Tomato</v>
      </c>
      <c r="B87" s="1"/>
      <c r="C87" s="94">
        <f t="shared" ref="C87:I87" si="21">$B87*C34</f>
        <v>0</v>
      </c>
      <c r="D87" s="94">
        <f t="shared" si="21"/>
        <v>0</v>
      </c>
      <c r="E87" s="94">
        <f t="shared" si="21"/>
        <v>0</v>
      </c>
      <c r="F87" s="94">
        <f t="shared" si="21"/>
        <v>0</v>
      </c>
      <c r="G87" s="94">
        <f t="shared" si="21"/>
        <v>0</v>
      </c>
      <c r="H87" s="94">
        <f t="shared" si="21"/>
        <v>0</v>
      </c>
      <c r="I87" s="94">
        <f t="shared" si="21"/>
        <v>0</v>
      </c>
    </row>
    <row r="88" spans="1:9" x14ac:dyDescent="0.25">
      <c r="A88" s="14" t="str">
        <f t="shared" si="0"/>
        <v>Okra</v>
      </c>
      <c r="B88" s="1"/>
      <c r="C88" s="94">
        <f t="shared" ref="C88:I88" si="22">$B88*C35</f>
        <v>0</v>
      </c>
      <c r="D88" s="94">
        <f t="shared" si="22"/>
        <v>0</v>
      </c>
      <c r="E88" s="94">
        <f t="shared" si="22"/>
        <v>0</v>
      </c>
      <c r="F88" s="94">
        <f t="shared" si="22"/>
        <v>0</v>
      </c>
      <c r="G88" s="94">
        <f t="shared" si="22"/>
        <v>0</v>
      </c>
      <c r="H88" s="94">
        <f t="shared" si="22"/>
        <v>0</v>
      </c>
      <c r="I88" s="94">
        <f t="shared" si="22"/>
        <v>0</v>
      </c>
    </row>
    <row r="89" spans="1:9" x14ac:dyDescent="0.25">
      <c r="A89" s="14" t="str">
        <f t="shared" si="0"/>
        <v>Chilli</v>
      </c>
      <c r="B89" s="1"/>
      <c r="C89" s="94">
        <f t="shared" ref="C89:I89" si="23">$B89*C36</f>
        <v>0</v>
      </c>
      <c r="D89" s="94">
        <f t="shared" si="23"/>
        <v>0</v>
      </c>
      <c r="E89" s="94">
        <f t="shared" si="23"/>
        <v>0</v>
      </c>
      <c r="F89" s="94">
        <f t="shared" si="23"/>
        <v>0</v>
      </c>
      <c r="G89" s="94">
        <f t="shared" si="23"/>
        <v>0</v>
      </c>
      <c r="H89" s="94">
        <f t="shared" si="23"/>
        <v>0</v>
      </c>
      <c r="I89" s="94">
        <f t="shared" si="23"/>
        <v>0</v>
      </c>
    </row>
    <row r="90" spans="1:9" x14ac:dyDescent="0.25">
      <c r="A90" s="14" t="str">
        <f t="shared" si="0"/>
        <v>Potato</v>
      </c>
      <c r="B90" s="1"/>
      <c r="C90" s="94">
        <f t="shared" ref="C90:I90" si="24">$B90*C37</f>
        <v>0</v>
      </c>
      <c r="D90" s="94">
        <f t="shared" si="24"/>
        <v>0</v>
      </c>
      <c r="E90" s="94">
        <f t="shared" si="24"/>
        <v>0</v>
      </c>
      <c r="F90" s="94">
        <f t="shared" si="24"/>
        <v>0</v>
      </c>
      <c r="G90" s="94">
        <f t="shared" si="24"/>
        <v>0</v>
      </c>
      <c r="H90" s="94">
        <f t="shared" si="24"/>
        <v>0</v>
      </c>
      <c r="I90" s="94">
        <f t="shared" si="24"/>
        <v>0</v>
      </c>
    </row>
    <row r="91" spans="1:9" x14ac:dyDescent="0.25">
      <c r="A91" s="14">
        <f t="shared" si="0"/>
        <v>0</v>
      </c>
      <c r="B91" s="1"/>
      <c r="C91" s="94">
        <f t="shared" ref="C91:I91" si="25">$B91*C38</f>
        <v>0</v>
      </c>
      <c r="D91" s="94">
        <f t="shared" si="25"/>
        <v>0</v>
      </c>
      <c r="E91" s="94">
        <f t="shared" si="25"/>
        <v>0</v>
      </c>
      <c r="F91" s="94">
        <f t="shared" si="25"/>
        <v>0</v>
      </c>
      <c r="G91" s="94">
        <f t="shared" si="25"/>
        <v>0</v>
      </c>
      <c r="H91" s="94">
        <f t="shared" si="25"/>
        <v>0</v>
      </c>
      <c r="I91" s="94">
        <f t="shared" si="25"/>
        <v>0</v>
      </c>
    </row>
    <row r="92" spans="1:9" x14ac:dyDescent="0.25">
      <c r="A92" s="14">
        <f t="shared" si="0"/>
        <v>0</v>
      </c>
      <c r="B92" s="1"/>
      <c r="C92" s="94">
        <f t="shared" ref="C92:I92" si="26">$B92*C39</f>
        <v>0</v>
      </c>
      <c r="D92" s="94">
        <f t="shared" si="26"/>
        <v>0</v>
      </c>
      <c r="E92" s="94">
        <f t="shared" si="26"/>
        <v>0</v>
      </c>
      <c r="F92" s="94">
        <f t="shared" si="26"/>
        <v>0</v>
      </c>
      <c r="G92" s="94">
        <f t="shared" si="26"/>
        <v>0</v>
      </c>
      <c r="H92" s="94">
        <f t="shared" si="26"/>
        <v>0</v>
      </c>
      <c r="I92" s="94">
        <f t="shared" si="26"/>
        <v>0</v>
      </c>
    </row>
    <row r="93" spans="1:9" x14ac:dyDescent="0.25">
      <c r="A93" s="14">
        <f t="shared" ref="A93:A110" si="27">A40</f>
        <v>0</v>
      </c>
      <c r="B93" s="1"/>
      <c r="C93" s="94">
        <f t="shared" ref="C93:I93" si="28">$B93*C40</f>
        <v>0</v>
      </c>
      <c r="D93" s="94">
        <f t="shared" si="28"/>
        <v>0</v>
      </c>
      <c r="E93" s="94">
        <f t="shared" si="28"/>
        <v>0</v>
      </c>
      <c r="F93" s="94">
        <f t="shared" si="28"/>
        <v>0</v>
      </c>
      <c r="G93" s="94">
        <f t="shared" si="28"/>
        <v>0</v>
      </c>
      <c r="H93" s="94">
        <f t="shared" si="28"/>
        <v>0</v>
      </c>
      <c r="I93" s="94">
        <f t="shared" si="28"/>
        <v>0</v>
      </c>
    </row>
    <row r="94" spans="1:9" x14ac:dyDescent="0.25">
      <c r="A94" s="14">
        <f t="shared" si="27"/>
        <v>0</v>
      </c>
      <c r="B94" s="1"/>
      <c r="C94" s="94">
        <f t="shared" ref="C94:I94" si="29">$B94*C41</f>
        <v>0</v>
      </c>
      <c r="D94" s="94">
        <f t="shared" si="29"/>
        <v>0</v>
      </c>
      <c r="E94" s="94">
        <f t="shared" si="29"/>
        <v>0</v>
      </c>
      <c r="F94" s="94">
        <f t="shared" si="29"/>
        <v>0</v>
      </c>
      <c r="G94" s="94">
        <f t="shared" si="29"/>
        <v>0</v>
      </c>
      <c r="H94" s="94">
        <f t="shared" si="29"/>
        <v>0</v>
      </c>
      <c r="I94" s="94">
        <f t="shared" si="29"/>
        <v>0</v>
      </c>
    </row>
    <row r="95" spans="1:9" x14ac:dyDescent="0.25">
      <c r="A95" s="14" t="str">
        <f t="shared" si="27"/>
        <v>Onion</v>
      </c>
      <c r="B95" s="1"/>
      <c r="C95" s="94">
        <f t="shared" ref="C95:I95" si="30">$B95*C42</f>
        <v>0</v>
      </c>
      <c r="D95" s="94">
        <f t="shared" si="30"/>
        <v>0</v>
      </c>
      <c r="E95" s="94">
        <f t="shared" si="30"/>
        <v>0</v>
      </c>
      <c r="F95" s="94">
        <f t="shared" si="30"/>
        <v>0</v>
      </c>
      <c r="G95" s="94">
        <f t="shared" si="30"/>
        <v>0</v>
      </c>
      <c r="H95" s="94">
        <f t="shared" si="30"/>
        <v>0</v>
      </c>
      <c r="I95" s="94">
        <f t="shared" si="30"/>
        <v>0</v>
      </c>
    </row>
    <row r="96" spans="1:9" x14ac:dyDescent="0.25">
      <c r="A96" s="14" t="str">
        <f t="shared" si="27"/>
        <v>Tomato</v>
      </c>
      <c r="B96" s="1"/>
      <c r="C96" s="94">
        <f t="shared" ref="C96:I96" si="31">$B96*C43</f>
        <v>0</v>
      </c>
      <c r="D96" s="94">
        <f t="shared" si="31"/>
        <v>0</v>
      </c>
      <c r="E96" s="94">
        <f t="shared" si="31"/>
        <v>0</v>
      </c>
      <c r="F96" s="94">
        <f t="shared" si="31"/>
        <v>0</v>
      </c>
      <c r="G96" s="94">
        <f t="shared" si="31"/>
        <v>0</v>
      </c>
      <c r="H96" s="94">
        <f t="shared" si="31"/>
        <v>0</v>
      </c>
      <c r="I96" s="94">
        <f t="shared" si="31"/>
        <v>0</v>
      </c>
    </row>
    <row r="97" spans="1:9" x14ac:dyDescent="0.25">
      <c r="A97" s="14" t="str">
        <f t="shared" si="27"/>
        <v>Okra</v>
      </c>
      <c r="B97" s="1"/>
      <c r="C97" s="94">
        <f t="shared" ref="C97:I97" si="32">$B97*C44</f>
        <v>0</v>
      </c>
      <c r="D97" s="94">
        <f t="shared" si="32"/>
        <v>0</v>
      </c>
      <c r="E97" s="94">
        <f t="shared" si="32"/>
        <v>0</v>
      </c>
      <c r="F97" s="94">
        <f t="shared" si="32"/>
        <v>0</v>
      </c>
      <c r="G97" s="94">
        <f t="shared" si="32"/>
        <v>0</v>
      </c>
      <c r="H97" s="94">
        <f t="shared" si="32"/>
        <v>0</v>
      </c>
      <c r="I97" s="94">
        <f t="shared" si="32"/>
        <v>0</v>
      </c>
    </row>
    <row r="98" spans="1:9" x14ac:dyDescent="0.25">
      <c r="A98" s="14" t="str">
        <f t="shared" si="27"/>
        <v>Chilli</v>
      </c>
      <c r="B98" s="1"/>
      <c r="C98" s="94">
        <f t="shared" ref="C98:I98" si="33">$B98*C45</f>
        <v>0</v>
      </c>
      <c r="D98" s="94">
        <f t="shared" si="33"/>
        <v>0</v>
      </c>
      <c r="E98" s="94">
        <f t="shared" si="33"/>
        <v>0</v>
      </c>
      <c r="F98" s="94">
        <f t="shared" si="33"/>
        <v>0</v>
      </c>
      <c r="G98" s="94">
        <f t="shared" si="33"/>
        <v>0</v>
      </c>
      <c r="H98" s="94">
        <f t="shared" si="33"/>
        <v>0</v>
      </c>
      <c r="I98" s="94">
        <f t="shared" si="33"/>
        <v>0</v>
      </c>
    </row>
    <row r="99" spans="1:9" x14ac:dyDescent="0.25">
      <c r="A99" s="14" t="str">
        <f t="shared" si="27"/>
        <v>Brinjal</v>
      </c>
      <c r="B99" s="1"/>
      <c r="C99" s="94">
        <f t="shared" ref="C99:I99" si="34">$B99*C46</f>
        <v>0</v>
      </c>
      <c r="D99" s="94">
        <f t="shared" si="34"/>
        <v>0</v>
      </c>
      <c r="E99" s="94">
        <f t="shared" si="34"/>
        <v>0</v>
      </c>
      <c r="F99" s="94">
        <f t="shared" si="34"/>
        <v>0</v>
      </c>
      <c r="G99" s="94">
        <f t="shared" si="34"/>
        <v>0</v>
      </c>
      <c r="H99" s="94">
        <f t="shared" si="34"/>
        <v>0</v>
      </c>
      <c r="I99" s="94">
        <f t="shared" si="34"/>
        <v>0</v>
      </c>
    </row>
    <row r="100" spans="1:9" x14ac:dyDescent="0.25">
      <c r="A100" s="14">
        <f t="shared" si="27"/>
        <v>0</v>
      </c>
      <c r="B100" s="1"/>
      <c r="C100" s="94">
        <f t="shared" ref="C100:I100" si="35">$B100*C47</f>
        <v>0</v>
      </c>
      <c r="D100" s="94">
        <f t="shared" si="35"/>
        <v>0</v>
      </c>
      <c r="E100" s="94">
        <f t="shared" si="35"/>
        <v>0</v>
      </c>
      <c r="F100" s="94">
        <f t="shared" si="35"/>
        <v>0</v>
      </c>
      <c r="G100" s="94">
        <f t="shared" si="35"/>
        <v>0</v>
      </c>
      <c r="H100" s="94">
        <f t="shared" si="35"/>
        <v>0</v>
      </c>
      <c r="I100" s="94">
        <f t="shared" si="35"/>
        <v>0</v>
      </c>
    </row>
    <row r="101" spans="1:9" x14ac:dyDescent="0.25">
      <c r="A101" s="14">
        <f t="shared" si="27"/>
        <v>0</v>
      </c>
      <c r="B101" s="1"/>
      <c r="C101" s="94">
        <f t="shared" ref="C101:I101" si="36">$B101*C48</f>
        <v>0</v>
      </c>
      <c r="D101" s="94">
        <f t="shared" si="36"/>
        <v>0</v>
      </c>
      <c r="E101" s="94">
        <f t="shared" si="36"/>
        <v>0</v>
      </c>
      <c r="F101" s="94">
        <f t="shared" si="36"/>
        <v>0</v>
      </c>
      <c r="G101" s="94">
        <f t="shared" si="36"/>
        <v>0</v>
      </c>
      <c r="H101" s="94">
        <f t="shared" si="36"/>
        <v>0</v>
      </c>
      <c r="I101" s="94">
        <f t="shared" si="36"/>
        <v>0</v>
      </c>
    </row>
    <row r="102" spans="1:9" x14ac:dyDescent="0.25">
      <c r="A102" s="14">
        <f t="shared" si="27"/>
        <v>0</v>
      </c>
      <c r="B102" s="1"/>
      <c r="C102" s="94">
        <f t="shared" ref="C102:I102" si="37">$B102*C49</f>
        <v>0</v>
      </c>
      <c r="D102" s="94">
        <f t="shared" si="37"/>
        <v>0</v>
      </c>
      <c r="E102" s="94">
        <f t="shared" si="37"/>
        <v>0</v>
      </c>
      <c r="F102" s="94">
        <f t="shared" si="37"/>
        <v>0</v>
      </c>
      <c r="G102" s="94">
        <f t="shared" si="37"/>
        <v>0</v>
      </c>
      <c r="H102" s="94">
        <f t="shared" si="37"/>
        <v>0</v>
      </c>
      <c r="I102" s="94">
        <f t="shared" si="37"/>
        <v>0</v>
      </c>
    </row>
    <row r="103" spans="1:9" x14ac:dyDescent="0.25">
      <c r="A103" s="14">
        <f t="shared" si="27"/>
        <v>0</v>
      </c>
      <c r="B103" s="1"/>
      <c r="C103" s="94">
        <f t="shared" ref="C103:I103" si="38">$B103*C50</f>
        <v>0</v>
      </c>
      <c r="D103" s="94">
        <f t="shared" si="38"/>
        <v>0</v>
      </c>
      <c r="E103" s="94">
        <f t="shared" si="38"/>
        <v>0</v>
      </c>
      <c r="F103" s="94">
        <f t="shared" si="38"/>
        <v>0</v>
      </c>
      <c r="G103" s="94">
        <f t="shared" si="38"/>
        <v>0</v>
      </c>
      <c r="H103" s="94">
        <f t="shared" si="38"/>
        <v>0</v>
      </c>
      <c r="I103" s="94">
        <f t="shared" si="38"/>
        <v>0</v>
      </c>
    </row>
    <row r="104" spans="1:9" x14ac:dyDescent="0.25">
      <c r="A104" s="14">
        <f t="shared" si="27"/>
        <v>0</v>
      </c>
      <c r="B104" s="1"/>
      <c r="C104" s="94">
        <f t="shared" ref="C104:I104" si="39">$B104*C51</f>
        <v>0</v>
      </c>
      <c r="D104" s="94">
        <f t="shared" si="39"/>
        <v>0</v>
      </c>
      <c r="E104" s="94">
        <f t="shared" si="39"/>
        <v>0</v>
      </c>
      <c r="F104" s="94">
        <f t="shared" si="39"/>
        <v>0</v>
      </c>
      <c r="G104" s="94">
        <f t="shared" si="39"/>
        <v>0</v>
      </c>
      <c r="H104" s="94">
        <f t="shared" si="39"/>
        <v>0</v>
      </c>
      <c r="I104" s="94">
        <f t="shared" si="39"/>
        <v>0</v>
      </c>
    </row>
    <row r="105" spans="1:9" x14ac:dyDescent="0.25">
      <c r="A105" s="14">
        <f t="shared" si="27"/>
        <v>0</v>
      </c>
      <c r="B105" s="1"/>
      <c r="C105" s="94">
        <f t="shared" ref="C105:I105" si="40">$B105*C52</f>
        <v>0</v>
      </c>
      <c r="D105" s="94">
        <f t="shared" si="40"/>
        <v>0</v>
      </c>
      <c r="E105" s="94">
        <f t="shared" si="40"/>
        <v>0</v>
      </c>
      <c r="F105" s="94">
        <f t="shared" si="40"/>
        <v>0</v>
      </c>
      <c r="G105" s="94">
        <f t="shared" si="40"/>
        <v>0</v>
      </c>
      <c r="H105" s="94">
        <f t="shared" si="40"/>
        <v>0</v>
      </c>
      <c r="I105" s="94">
        <f t="shared" si="40"/>
        <v>0</v>
      </c>
    </row>
    <row r="106" spans="1:9" x14ac:dyDescent="0.25">
      <c r="A106" s="14">
        <f t="shared" si="27"/>
        <v>0</v>
      </c>
      <c r="B106" s="1"/>
      <c r="C106" s="94">
        <f t="shared" ref="C106:I106" si="41">$B106*C53</f>
        <v>0</v>
      </c>
      <c r="D106" s="94">
        <f t="shared" si="41"/>
        <v>0</v>
      </c>
      <c r="E106" s="94">
        <f t="shared" si="41"/>
        <v>0</v>
      </c>
      <c r="F106" s="94">
        <f t="shared" si="41"/>
        <v>0</v>
      </c>
      <c r="G106" s="94">
        <f t="shared" si="41"/>
        <v>0</v>
      </c>
      <c r="H106" s="94">
        <f t="shared" si="41"/>
        <v>0</v>
      </c>
      <c r="I106" s="94">
        <f t="shared" si="41"/>
        <v>0</v>
      </c>
    </row>
    <row r="107" spans="1:9" x14ac:dyDescent="0.25">
      <c r="A107" s="14" t="str">
        <f t="shared" si="27"/>
        <v>Pomegranate</v>
      </c>
      <c r="B107" s="1"/>
      <c r="C107" s="94">
        <f t="shared" ref="C107:I107" si="42">$B107*C54</f>
        <v>0</v>
      </c>
      <c r="D107" s="94">
        <f t="shared" si="42"/>
        <v>0</v>
      </c>
      <c r="E107" s="94">
        <f t="shared" si="42"/>
        <v>0</v>
      </c>
      <c r="F107" s="94">
        <f t="shared" si="42"/>
        <v>0</v>
      </c>
      <c r="G107" s="94">
        <f t="shared" si="42"/>
        <v>0</v>
      </c>
      <c r="H107" s="94">
        <f t="shared" si="42"/>
        <v>0</v>
      </c>
      <c r="I107" s="94">
        <f t="shared" si="42"/>
        <v>0</v>
      </c>
    </row>
    <row r="108" spans="1:9" x14ac:dyDescent="0.25">
      <c r="A108" s="14" t="str">
        <f t="shared" si="27"/>
        <v>Custard Apple</v>
      </c>
      <c r="B108" s="1"/>
      <c r="C108" s="94">
        <f t="shared" ref="C108:I108" si="43">$B108*C55</f>
        <v>0</v>
      </c>
      <c r="D108" s="94">
        <f t="shared" si="43"/>
        <v>0</v>
      </c>
      <c r="E108" s="94">
        <f t="shared" si="43"/>
        <v>0</v>
      </c>
      <c r="F108" s="94">
        <f t="shared" si="43"/>
        <v>0</v>
      </c>
      <c r="G108" s="94">
        <f t="shared" si="43"/>
        <v>0</v>
      </c>
      <c r="H108" s="94">
        <f t="shared" si="43"/>
        <v>0</v>
      </c>
      <c r="I108" s="94">
        <f t="shared" si="43"/>
        <v>0</v>
      </c>
    </row>
    <row r="109" spans="1:9" x14ac:dyDescent="0.25">
      <c r="A109" s="14" t="str">
        <f t="shared" si="27"/>
        <v>Guava</v>
      </c>
      <c r="B109" s="1"/>
      <c r="C109" s="94">
        <f t="shared" ref="C109:I109" si="44">$B109*C56</f>
        <v>0</v>
      </c>
      <c r="D109" s="94">
        <f t="shared" si="44"/>
        <v>0</v>
      </c>
      <c r="E109" s="94">
        <f t="shared" si="44"/>
        <v>0</v>
      </c>
      <c r="F109" s="94">
        <f t="shared" si="44"/>
        <v>0</v>
      </c>
      <c r="G109" s="94">
        <f t="shared" si="44"/>
        <v>0</v>
      </c>
      <c r="H109" s="94">
        <f t="shared" si="44"/>
        <v>0</v>
      </c>
      <c r="I109" s="94">
        <f t="shared" si="44"/>
        <v>0</v>
      </c>
    </row>
    <row r="110" spans="1:9" x14ac:dyDescent="0.25">
      <c r="A110" s="14" t="str">
        <f t="shared" si="27"/>
        <v>Citrus</v>
      </c>
      <c r="B110" s="1"/>
      <c r="C110" s="94">
        <f t="shared" ref="C110:I110" si="45">$B110*C57</f>
        <v>0</v>
      </c>
      <c r="D110" s="94">
        <f t="shared" si="45"/>
        <v>0</v>
      </c>
      <c r="E110" s="94">
        <f t="shared" si="45"/>
        <v>0</v>
      </c>
      <c r="F110" s="94">
        <f t="shared" si="45"/>
        <v>0</v>
      </c>
      <c r="G110" s="94">
        <f t="shared" si="45"/>
        <v>0</v>
      </c>
      <c r="H110" s="94">
        <f t="shared" si="45"/>
        <v>0</v>
      </c>
      <c r="I110" s="94">
        <f t="shared" si="45"/>
        <v>0</v>
      </c>
    </row>
    <row r="111" spans="1:9" x14ac:dyDescent="0.25">
      <c r="A111" s="14"/>
      <c r="B111" s="1"/>
      <c r="C111" s="94"/>
      <c r="D111" s="94"/>
      <c r="E111" s="94"/>
      <c r="F111" s="94"/>
      <c r="G111" s="94"/>
      <c r="H111" s="94"/>
      <c r="I111" s="94"/>
    </row>
    <row r="112" spans="1:9" x14ac:dyDescent="0.25">
      <c r="A112" s="14"/>
      <c r="B112" s="1"/>
      <c r="C112" s="94"/>
      <c r="D112" s="94"/>
      <c r="E112" s="94"/>
      <c r="F112" s="94"/>
      <c r="G112" s="94"/>
      <c r="H112" s="94"/>
      <c r="I112" s="94"/>
    </row>
    <row r="113" spans="1:23" x14ac:dyDescent="0.25">
      <c r="A113" s="27" t="s">
        <v>184</v>
      </c>
      <c r="B113" s="14"/>
      <c r="C113" s="14"/>
      <c r="D113" s="14"/>
      <c r="E113" s="14"/>
      <c r="F113" s="14"/>
      <c r="G113" s="14"/>
      <c r="H113" s="14"/>
      <c r="I113" s="14"/>
    </row>
    <row r="114" spans="1:23" x14ac:dyDescent="0.25">
      <c r="A114" s="14" t="s">
        <v>398</v>
      </c>
      <c r="B114" s="1">
        <v>0</v>
      </c>
      <c r="C114" s="94">
        <f>SUM(C62:C110)*$B$114</f>
        <v>0</v>
      </c>
      <c r="D114" s="94">
        <f t="shared" ref="D114:I114" si="46">SUM(D62:D110)*$B$114</f>
        <v>0</v>
      </c>
      <c r="E114" s="94">
        <f t="shared" si="46"/>
        <v>0</v>
      </c>
      <c r="F114" s="94">
        <f t="shared" si="46"/>
        <v>0</v>
      </c>
      <c r="G114" s="94">
        <f t="shared" si="46"/>
        <v>0</v>
      </c>
      <c r="H114" s="94">
        <f t="shared" si="46"/>
        <v>0</v>
      </c>
      <c r="I114" s="94">
        <f t="shared" si="46"/>
        <v>0</v>
      </c>
    </row>
    <row r="115" spans="1:23" x14ac:dyDescent="0.25">
      <c r="A115" s="14" t="s">
        <v>178</v>
      </c>
      <c r="B115" s="1">
        <v>0</v>
      </c>
      <c r="C115" s="94">
        <f>SUM(C62:C110)*$B$115</f>
        <v>0</v>
      </c>
      <c r="D115" s="94">
        <f t="shared" ref="D115:I115" si="47">SUM(D62:D110)*$B$115</f>
        <v>0</v>
      </c>
      <c r="E115" s="94">
        <f t="shared" si="47"/>
        <v>0</v>
      </c>
      <c r="F115" s="94">
        <f t="shared" si="47"/>
        <v>0</v>
      </c>
      <c r="G115" s="94">
        <f t="shared" si="47"/>
        <v>0</v>
      </c>
      <c r="H115" s="94">
        <f t="shared" si="47"/>
        <v>0</v>
      </c>
      <c r="I115" s="94">
        <f t="shared" si="47"/>
        <v>0</v>
      </c>
    </row>
    <row r="116" spans="1:23" x14ac:dyDescent="0.25">
      <c r="A116" s="14" t="s">
        <v>180</v>
      </c>
      <c r="B116" s="1">
        <v>0</v>
      </c>
      <c r="C116" s="94">
        <f>SUM(C62:C110)*$B$116</f>
        <v>0</v>
      </c>
      <c r="D116" s="94">
        <f t="shared" ref="D116:I116" si="48">SUM(D62:D110)*$B$116</f>
        <v>0</v>
      </c>
      <c r="E116" s="94">
        <f t="shared" si="48"/>
        <v>0</v>
      </c>
      <c r="F116" s="94">
        <f t="shared" si="48"/>
        <v>0</v>
      </c>
      <c r="G116" s="94">
        <f t="shared" si="48"/>
        <v>0</v>
      </c>
      <c r="H116" s="94">
        <f t="shared" si="48"/>
        <v>0</v>
      </c>
      <c r="I116" s="94">
        <f t="shared" si="48"/>
        <v>0</v>
      </c>
    </row>
    <row r="117" spans="1:23" x14ac:dyDescent="0.25">
      <c r="A117" s="27" t="s">
        <v>179</v>
      </c>
      <c r="B117" s="1"/>
      <c r="C117" s="14"/>
      <c r="D117" s="14"/>
      <c r="E117" s="14"/>
      <c r="F117" s="14"/>
      <c r="G117" s="14"/>
      <c r="H117" s="14"/>
      <c r="I117" s="14"/>
    </row>
    <row r="118" spans="1:23" x14ac:dyDescent="0.25">
      <c r="A118" s="14" t="s">
        <v>185</v>
      </c>
      <c r="B118" s="1">
        <v>0.2</v>
      </c>
      <c r="C118" s="94">
        <f>SUM(C62:C110)*$B$118</f>
        <v>0</v>
      </c>
      <c r="D118" s="94">
        <f t="shared" ref="D118:I118" si="49">SUM(D62:D110)*$B$118</f>
        <v>0</v>
      </c>
      <c r="E118" s="94">
        <f t="shared" si="49"/>
        <v>0</v>
      </c>
      <c r="F118" s="94">
        <f t="shared" si="49"/>
        <v>0</v>
      </c>
      <c r="G118" s="94">
        <f t="shared" si="49"/>
        <v>0</v>
      </c>
      <c r="H118" s="94">
        <f t="shared" si="49"/>
        <v>0</v>
      </c>
      <c r="I118" s="94">
        <f t="shared" si="49"/>
        <v>0</v>
      </c>
    </row>
    <row r="119" spans="1:23" x14ac:dyDescent="0.25">
      <c r="A119" s="14" t="s">
        <v>186</v>
      </c>
      <c r="B119" s="1">
        <v>0</v>
      </c>
      <c r="C119" s="94">
        <f>SUM(C62:C110)*$B$119</f>
        <v>0</v>
      </c>
      <c r="D119" s="94">
        <f t="shared" ref="D119:I119" si="50">SUM(D62:D110)*$B$119</f>
        <v>0</v>
      </c>
      <c r="E119" s="94">
        <f t="shared" si="50"/>
        <v>0</v>
      </c>
      <c r="F119" s="94">
        <f t="shared" si="50"/>
        <v>0</v>
      </c>
      <c r="G119" s="94">
        <f t="shared" si="50"/>
        <v>0</v>
      </c>
      <c r="H119" s="94">
        <f t="shared" si="50"/>
        <v>0</v>
      </c>
      <c r="I119" s="94">
        <f t="shared" si="50"/>
        <v>0</v>
      </c>
    </row>
    <row r="122" spans="1:23" ht="18.75" x14ac:dyDescent="0.3">
      <c r="A122" s="547" t="s">
        <v>589</v>
      </c>
      <c r="B122" s="547"/>
      <c r="C122" s="547"/>
      <c r="D122" s="547"/>
      <c r="E122" s="547"/>
      <c r="F122" s="547"/>
      <c r="G122" s="547"/>
      <c r="H122" s="547"/>
      <c r="I122" s="547"/>
      <c r="J122" s="547"/>
    </row>
    <row r="123" spans="1:23" x14ac:dyDescent="0.25">
      <c r="A123" s="95"/>
      <c r="B123" s="72"/>
      <c r="C123" s="95"/>
      <c r="D123" s="95"/>
      <c r="E123" s="95"/>
      <c r="F123" s="95"/>
      <c r="G123" s="95"/>
      <c r="H123" s="95"/>
    </row>
    <row r="124" spans="1:23" x14ac:dyDescent="0.25">
      <c r="A124" s="73"/>
      <c r="B124" s="73"/>
      <c r="C124" s="73"/>
      <c r="D124" s="74">
        <v>1</v>
      </c>
      <c r="E124" s="75">
        <f>(D124*5%)+D124</f>
        <v>1.05</v>
      </c>
      <c r="F124" s="75">
        <f t="shared" ref="F124:J124" si="51">(E124*5%)+E124</f>
        <v>1.1025</v>
      </c>
      <c r="G124" s="75">
        <f t="shared" si="51"/>
        <v>1.1576250000000001</v>
      </c>
      <c r="H124" s="75">
        <f t="shared" si="51"/>
        <v>1.2155062500000002</v>
      </c>
      <c r="I124" s="75">
        <f t="shared" si="51"/>
        <v>1.2762815625000004</v>
      </c>
      <c r="J124" s="75">
        <f t="shared" si="51"/>
        <v>1.3400956406250004</v>
      </c>
      <c r="K124" s="3"/>
      <c r="U124" s="3"/>
      <c r="V124" s="3"/>
      <c r="W124" s="3"/>
    </row>
    <row r="125" spans="1:23" x14ac:dyDescent="0.25">
      <c r="A125" s="3"/>
      <c r="B125" s="3"/>
      <c r="C125" s="3"/>
      <c r="D125" s="3"/>
      <c r="E125" s="3"/>
      <c r="F125" s="3"/>
      <c r="G125" s="3"/>
      <c r="H125" s="3"/>
      <c r="I125" s="3"/>
      <c r="J125" s="3"/>
      <c r="K125" s="3"/>
      <c r="U125" s="3"/>
      <c r="V125" s="3"/>
      <c r="W125" s="3"/>
    </row>
    <row r="126" spans="1:23" x14ac:dyDescent="0.25">
      <c r="A126" s="6" t="s">
        <v>0</v>
      </c>
      <c r="B126" s="6" t="s">
        <v>131</v>
      </c>
      <c r="C126" s="6" t="s">
        <v>151</v>
      </c>
      <c r="D126" s="7" t="s">
        <v>2</v>
      </c>
      <c r="E126" s="7" t="s">
        <v>3</v>
      </c>
      <c r="F126" s="7" t="s">
        <v>4</v>
      </c>
      <c r="G126" s="7" t="s">
        <v>5</v>
      </c>
      <c r="H126" s="7" t="s">
        <v>6</v>
      </c>
      <c r="I126" s="7" t="s">
        <v>168</v>
      </c>
      <c r="J126" s="7" t="s">
        <v>167</v>
      </c>
      <c r="K126" s="3"/>
      <c r="U126" s="3"/>
      <c r="V126" s="3"/>
      <c r="W126" s="3"/>
    </row>
    <row r="127" spans="1:23" x14ac:dyDescent="0.25">
      <c r="A127" s="11" t="s">
        <v>126</v>
      </c>
      <c r="B127" s="8"/>
      <c r="C127" s="8"/>
      <c r="D127" s="8"/>
      <c r="E127" s="8"/>
      <c r="F127" s="8"/>
      <c r="G127" s="8"/>
      <c r="H127" s="8"/>
      <c r="I127" s="8"/>
      <c r="J127" s="8"/>
      <c r="K127" s="3"/>
      <c r="U127" s="3"/>
      <c r="V127" s="3"/>
      <c r="W127" s="3"/>
    </row>
    <row r="128" spans="1:23" x14ac:dyDescent="0.25">
      <c r="A128" s="8" t="s">
        <v>279</v>
      </c>
      <c r="B128" s="8"/>
      <c r="C128" s="8"/>
      <c r="D128" s="8"/>
      <c r="E128" s="8"/>
      <c r="F128" s="8"/>
      <c r="G128" s="8"/>
      <c r="H128" s="8"/>
      <c r="I128" s="8"/>
      <c r="J128" s="8"/>
      <c r="K128" s="3"/>
      <c r="U128" s="3"/>
      <c r="V128" s="3"/>
      <c r="W128" s="3"/>
    </row>
    <row r="129" spans="1:23" x14ac:dyDescent="0.25">
      <c r="A129" s="11" t="str">
        <f t="shared" ref="A129:A160" si="52">A8</f>
        <v>Kharif Crops</v>
      </c>
      <c r="B129" s="8"/>
      <c r="C129" s="8"/>
      <c r="D129" s="8"/>
      <c r="E129" s="8"/>
      <c r="F129" s="8"/>
      <c r="G129" s="8"/>
      <c r="H129" s="8"/>
      <c r="I129" s="8"/>
      <c r="J129" s="8"/>
      <c r="K129" s="3"/>
      <c r="U129" s="3"/>
      <c r="V129" s="3"/>
      <c r="W129" s="3"/>
    </row>
    <row r="130" spans="1:23" x14ac:dyDescent="0.25">
      <c r="A130" s="8">
        <f t="shared" si="52"/>
        <v>0</v>
      </c>
      <c r="B130" s="8"/>
      <c r="C130" s="1">
        <v>0</v>
      </c>
      <c r="D130" s="10">
        <f>(C62*(1-'5.Closing Stock &amp; W Capital'!$D$15))*$C$130*D$124</f>
        <v>0</v>
      </c>
      <c r="E130" s="10">
        <f>(D62*(1-'5.Closing Stock &amp; W Capital'!$D$15))*$C$130*E$124</f>
        <v>0</v>
      </c>
      <c r="F130" s="10">
        <f>(E62*(1-'5.Closing Stock &amp; W Capital'!$D$15))*$C$130*F$124</f>
        <v>0</v>
      </c>
      <c r="G130" s="10">
        <f>(F62*(1-'5.Closing Stock &amp; W Capital'!$D$15))*$C$130*G$124</f>
        <v>0</v>
      </c>
      <c r="H130" s="10">
        <f>(G62*(1-'5.Closing Stock &amp; W Capital'!$D$15))*$C$130*H$124</f>
        <v>0</v>
      </c>
      <c r="I130" s="10">
        <f>(H62*(1-'5.Closing Stock &amp; W Capital'!$D$15))*$C$130*I$124</f>
        <v>0</v>
      </c>
      <c r="J130" s="10">
        <f>(I62*(1-'5.Closing Stock &amp; W Capital'!$D$15))*$C$130*J$124</f>
        <v>0</v>
      </c>
      <c r="K130" s="3"/>
      <c r="U130" s="3"/>
      <c r="V130" s="3"/>
      <c r="W130" s="3"/>
    </row>
    <row r="131" spans="1:23" x14ac:dyDescent="0.25">
      <c r="A131" s="8" t="str">
        <f t="shared" si="52"/>
        <v>Red Gram/Tur</v>
      </c>
      <c r="B131" s="8"/>
      <c r="C131" s="1">
        <v>0</v>
      </c>
      <c r="D131" s="10">
        <f>(C63*(1-'5.Closing Stock &amp; W Capital'!$D$15))*$C$131*D$124</f>
        <v>0</v>
      </c>
      <c r="E131" s="10">
        <f>((D63*(1-'5.Closing Stock &amp; W Capital'!$D$15))+(C63*'5.Closing Stock &amp; W Capital'!$D$15))*$C$131*E$124</f>
        <v>0</v>
      </c>
      <c r="F131" s="10">
        <f>((E63*(1-'5.Closing Stock &amp; W Capital'!$D$15))+(D63*'5.Closing Stock &amp; W Capital'!$D$15))*$C$131*F$124</f>
        <v>0</v>
      </c>
      <c r="G131" s="10">
        <f>((F63*(1-'5.Closing Stock &amp; W Capital'!$D$15))+(E63*'5.Closing Stock &amp; W Capital'!$D$15))*$C$131*G124</f>
        <v>0</v>
      </c>
      <c r="H131" s="10">
        <f>((G63*(1-'5.Closing Stock &amp; W Capital'!$D$15))+(F63*'5.Closing Stock &amp; W Capital'!$D$15))*$C$131*H124</f>
        <v>0</v>
      </c>
      <c r="I131" s="10">
        <f>((H63*(1-'5.Closing Stock &amp; W Capital'!$D$15))+(G63*'5.Closing Stock &amp; W Capital'!$D$15))*$C$131*I124</f>
        <v>0</v>
      </c>
      <c r="J131" s="10">
        <f>((I63*(1-'5.Closing Stock &amp; W Capital'!$D$15))+(H63*'5.Closing Stock &amp; W Capital'!$D$15))*$C$131*J124</f>
        <v>0</v>
      </c>
      <c r="K131" s="3"/>
      <c r="U131" s="4"/>
      <c r="V131" s="3"/>
      <c r="W131" s="3"/>
    </row>
    <row r="132" spans="1:23" x14ac:dyDescent="0.25">
      <c r="A132" s="8" t="str">
        <f t="shared" si="52"/>
        <v>Paddy/Rice</v>
      </c>
      <c r="B132" s="8"/>
      <c r="C132" s="1">
        <v>0</v>
      </c>
      <c r="D132" s="10">
        <f>(C64*(1-'5.Closing Stock &amp; W Capital'!$D$15))*$C$132*D$124</f>
        <v>0</v>
      </c>
      <c r="E132" s="10">
        <f>((D64*(1-'5.Closing Stock &amp; W Capital'!$D$15))+(C64*'5.Closing Stock &amp; W Capital'!$D$15))*$C$132*E$124</f>
        <v>0</v>
      </c>
      <c r="F132" s="10">
        <f>((E64*(1-'5.Closing Stock &amp; W Capital'!$D$15))+(D64*'5.Closing Stock &amp; W Capital'!$D$15))*$C$132*F$124</f>
        <v>0</v>
      </c>
      <c r="G132" s="10">
        <f>((F64*(1-'5.Closing Stock &amp; W Capital'!$D$15))+(E64*'5.Closing Stock &amp; W Capital'!$D$15))*$C$132*G124</f>
        <v>0</v>
      </c>
      <c r="H132" s="10">
        <f>((G64*(1-'5.Closing Stock &amp; W Capital'!$D$15))+(F64*'5.Closing Stock &amp; W Capital'!$D$15))*$C$132*H124</f>
        <v>0</v>
      </c>
      <c r="I132" s="10">
        <f>((H64*(1-'5.Closing Stock &amp; W Capital'!$D$15))+(G64*'5.Closing Stock &amp; W Capital'!$D$15))*$C$132*I124</f>
        <v>0</v>
      </c>
      <c r="J132" s="10">
        <f>((I64*(1-'5.Closing Stock &amp; W Capital'!$D$15))+(H64*'5.Closing Stock &amp; W Capital'!$D$15))*$C$132*J124</f>
        <v>0</v>
      </c>
      <c r="K132" s="3"/>
      <c r="U132" s="3"/>
      <c r="V132" s="3"/>
      <c r="W132" s="3"/>
    </row>
    <row r="133" spans="1:23" x14ac:dyDescent="0.25">
      <c r="A133" s="8" t="str">
        <f t="shared" si="52"/>
        <v>Green Gram/ Moong</v>
      </c>
      <c r="B133" s="8"/>
      <c r="C133" s="1">
        <v>0</v>
      </c>
      <c r="D133" s="10">
        <f>(C65*(1-'5.Closing Stock &amp; W Capital'!$D$15))*$C$133*D$124</f>
        <v>0</v>
      </c>
      <c r="E133" s="10">
        <f>((D65*(1-'5.Closing Stock &amp; W Capital'!$D$15))+(C65*'5.Closing Stock &amp; W Capital'!$D$15))*$C$133*E$124</f>
        <v>0</v>
      </c>
      <c r="F133" s="10">
        <f>((E65*(1-'5.Closing Stock &amp; W Capital'!$D$15))+(D65*'5.Closing Stock &amp; W Capital'!$D$15))*$C$133*F$124</f>
        <v>0</v>
      </c>
      <c r="G133" s="10">
        <f>((F65*(1-'5.Closing Stock &amp; W Capital'!$D$15))+(E65*'5.Closing Stock &amp; W Capital'!$D$15))*$C$133*G$124</f>
        <v>0</v>
      </c>
      <c r="H133" s="10">
        <f>((G65*(1-'5.Closing Stock &amp; W Capital'!$D$15))+(F65*'5.Closing Stock &amp; W Capital'!$D$15))*$C$133*H$124</f>
        <v>0</v>
      </c>
      <c r="I133" s="10">
        <f>((H65*(1-'5.Closing Stock &amp; W Capital'!$D$15))+(G65*'5.Closing Stock &amp; W Capital'!$D$15))*$C$133*I$124</f>
        <v>0</v>
      </c>
      <c r="J133" s="10">
        <f>((I65*(1-'5.Closing Stock &amp; W Capital'!$D$15))+(H65*'5.Closing Stock &amp; W Capital'!$D$15))*$C$133*J$124</f>
        <v>0</v>
      </c>
      <c r="K133" s="3"/>
      <c r="U133" s="3"/>
      <c r="V133" s="3"/>
      <c r="W133" s="3"/>
    </row>
    <row r="134" spans="1:23" x14ac:dyDescent="0.25">
      <c r="A134" s="8" t="str">
        <f t="shared" si="52"/>
        <v>Maize</v>
      </c>
      <c r="B134" s="8"/>
      <c r="C134" s="1">
        <v>0</v>
      </c>
      <c r="D134" s="10">
        <f>(C66*(1-'5.Closing Stock &amp; W Capital'!$D$15))*$C$134*D$124</f>
        <v>0</v>
      </c>
      <c r="E134" s="10">
        <f>((D66*(1-'5.Closing Stock &amp; W Capital'!$D$15))+(C66*'5.Closing Stock &amp; W Capital'!$D$15))*$C$135*E$124</f>
        <v>0</v>
      </c>
      <c r="F134" s="10">
        <f>((E66*(1-'5.Closing Stock &amp; W Capital'!$D$15))+(D66*'5.Closing Stock &amp; W Capital'!$D$15))*$C$135*F$124</f>
        <v>0</v>
      </c>
      <c r="G134" s="10">
        <f>((F66*(1-'5.Closing Stock &amp; W Capital'!$D$15))+(E66*'5.Closing Stock &amp; W Capital'!$D$15))*$C$135*G$124</f>
        <v>0</v>
      </c>
      <c r="H134" s="10">
        <f>((G66*(1-'5.Closing Stock &amp; W Capital'!$D$15))+(F66*'5.Closing Stock &amp; W Capital'!$D$15))*$C$135*H$124</f>
        <v>0</v>
      </c>
      <c r="I134" s="10">
        <f>((H66*(1-'5.Closing Stock &amp; W Capital'!$D$15))+(G66*'5.Closing Stock &amp; W Capital'!$D$15))*$C$135*I$124</f>
        <v>0</v>
      </c>
      <c r="J134" s="10">
        <f>((I66*(1-'5.Closing Stock &amp; W Capital'!$D$15))+(H66*'5.Closing Stock &amp; W Capital'!$D$15))*$C$135*J$124</f>
        <v>0</v>
      </c>
      <c r="K134" s="3"/>
      <c r="U134" s="3"/>
      <c r="V134" s="3"/>
      <c r="W134" s="3"/>
    </row>
    <row r="135" spans="1:23" x14ac:dyDescent="0.25">
      <c r="A135" s="8" t="str">
        <f t="shared" si="52"/>
        <v>Black Gram/Udid</v>
      </c>
      <c r="B135" s="8"/>
      <c r="C135" s="1">
        <v>0</v>
      </c>
      <c r="D135" s="10">
        <f>(C67*(1-'5.Closing Stock &amp; W Capital'!$D$15))*$C$135*D$124</f>
        <v>0</v>
      </c>
      <c r="E135" s="10">
        <f>((D67*(1-'5.Closing Stock &amp; W Capital'!$D$15))+(C67*'5.Closing Stock &amp; W Capital'!$D$15))*$C$135*E$124</f>
        <v>0</v>
      </c>
      <c r="F135" s="10">
        <f>((E67*(1-'5.Closing Stock &amp; W Capital'!$D$15))+(D67*'5.Closing Stock &amp; W Capital'!$D$15))*$C$135*F$124</f>
        <v>0</v>
      </c>
      <c r="G135" s="10">
        <f>((F67*(1-'5.Closing Stock &amp; W Capital'!$D$15))+(E67*'5.Closing Stock &amp; W Capital'!$D$15))*$C$135*G$124</f>
        <v>0</v>
      </c>
      <c r="H135" s="10">
        <f>((G67*(1-'5.Closing Stock &amp; W Capital'!$D$15))+(F67*'5.Closing Stock &amp; W Capital'!$D$15))*$C$135*H$124</f>
        <v>0</v>
      </c>
      <c r="I135" s="10">
        <f>((H67*(1-'5.Closing Stock &amp; W Capital'!$D$15))+(G67*'5.Closing Stock &amp; W Capital'!$D$15))*$C$135*I$124</f>
        <v>0</v>
      </c>
      <c r="J135" s="10">
        <f>((I67*(1-'5.Closing Stock &amp; W Capital'!$D$15))+(H67*'5.Closing Stock &amp; W Capital'!$D$15))*$C$135*J$124</f>
        <v>0</v>
      </c>
      <c r="K135" s="3"/>
      <c r="U135" s="3"/>
      <c r="V135" s="3"/>
      <c r="W135" s="3"/>
    </row>
    <row r="136" spans="1:23" x14ac:dyDescent="0.25">
      <c r="A136" s="8" t="str">
        <f t="shared" si="52"/>
        <v>Bajra</v>
      </c>
      <c r="B136" s="8"/>
      <c r="C136" s="1">
        <v>0</v>
      </c>
      <c r="D136" s="10">
        <f>(C68*(1-'5.Closing Stock &amp; W Capital'!$D$15))*$C$136*D$124</f>
        <v>0</v>
      </c>
      <c r="E136" s="10">
        <f>((D68*(1-'5.Closing Stock &amp; W Capital'!$D$15))+(C68*'5.Closing Stock &amp; W Capital'!$D$15))*$C$136*E$124</f>
        <v>0</v>
      </c>
      <c r="F136" s="10">
        <f>((E68*(1-'5.Closing Stock &amp; W Capital'!$D$15))+(D68*'5.Closing Stock &amp; W Capital'!$D$15))*$C$136*F$124</f>
        <v>0</v>
      </c>
      <c r="G136" s="10">
        <f>((F68*(1-'5.Closing Stock &amp; W Capital'!$D$15))+(E68*'5.Closing Stock &amp; W Capital'!$D$15))*$C$136*G$124</f>
        <v>0</v>
      </c>
      <c r="H136" s="10">
        <f>((G68*(1-'5.Closing Stock &amp; W Capital'!$D$15))+(F68*'5.Closing Stock &amp; W Capital'!$D$15))*$C$136*H$124</f>
        <v>0</v>
      </c>
      <c r="I136" s="10">
        <f>((H68*(1-'5.Closing Stock &amp; W Capital'!$D$15))+(G68*'5.Closing Stock &amp; W Capital'!$D$15))*$C$136*I$124</f>
        <v>0</v>
      </c>
      <c r="J136" s="10">
        <f>((I68*(1-'5.Closing Stock &amp; W Capital'!$D$15))+(H68*'5.Closing Stock &amp; W Capital'!$D$15))*$C$136*J$124</f>
        <v>0</v>
      </c>
      <c r="K136" s="3"/>
      <c r="U136" s="3"/>
      <c r="V136" s="3"/>
      <c r="W136" s="3"/>
    </row>
    <row r="137" spans="1:23" x14ac:dyDescent="0.25">
      <c r="A137" s="8" t="str">
        <f t="shared" si="52"/>
        <v>Jawar</v>
      </c>
      <c r="B137" s="8"/>
      <c r="C137" s="1">
        <v>0</v>
      </c>
      <c r="D137" s="10">
        <f>(C69*(1-'5.Closing Stock &amp; W Capital'!$D$15))*$C$137*D$124</f>
        <v>0</v>
      </c>
      <c r="E137" s="10">
        <f>((D69*(1-'5.Closing Stock &amp; W Capital'!$D$15))+(C69*'5.Closing Stock &amp; W Capital'!$D$15))*$C$137*E$124</f>
        <v>0</v>
      </c>
      <c r="F137" s="10">
        <f>((E69*(1-'5.Closing Stock &amp; W Capital'!$D$15))+(D69*'5.Closing Stock &amp; W Capital'!$D$15))*$C$137*F$124</f>
        <v>0</v>
      </c>
      <c r="G137" s="10">
        <f>((F69*(1-'5.Closing Stock &amp; W Capital'!$D$15))+(E69*'5.Closing Stock &amp; W Capital'!$D$15))*$C$137*G$124</f>
        <v>0</v>
      </c>
      <c r="H137" s="10">
        <f>((G69*(1-'5.Closing Stock &amp; W Capital'!$D$15))+(F69*'5.Closing Stock &amp; W Capital'!$D$15))*$C$137*H$124</f>
        <v>0</v>
      </c>
      <c r="I137" s="10">
        <f>((H69*(1-'5.Closing Stock &amp; W Capital'!$D$15))+(G69*'5.Closing Stock &amp; W Capital'!$D$15))*$C$137*I$124</f>
        <v>0</v>
      </c>
      <c r="J137" s="10">
        <f>((I69*(1-'5.Closing Stock &amp; W Capital'!$D$15))+(H69*'5.Closing Stock &amp; W Capital'!$D$15))*$C$137*J$124</f>
        <v>0</v>
      </c>
      <c r="K137" s="3"/>
      <c r="U137" s="3"/>
      <c r="V137" s="3"/>
      <c r="W137" s="3"/>
    </row>
    <row r="138" spans="1:23" x14ac:dyDescent="0.25">
      <c r="A138" s="11" t="str">
        <f t="shared" si="52"/>
        <v>Rabi Crop</v>
      </c>
      <c r="B138" s="8"/>
      <c r="C138" s="9"/>
      <c r="D138" s="10"/>
      <c r="E138" s="10"/>
      <c r="F138" s="10"/>
      <c r="G138" s="10"/>
      <c r="H138" s="10"/>
      <c r="I138" s="10"/>
      <c r="J138" s="10"/>
      <c r="K138" s="3"/>
      <c r="U138" s="3"/>
      <c r="V138" s="3"/>
      <c r="W138" s="3"/>
    </row>
    <row r="139" spans="1:23" x14ac:dyDescent="0.25">
      <c r="A139" s="8" t="str">
        <f t="shared" si="52"/>
        <v>Wheat</v>
      </c>
      <c r="B139" s="8"/>
      <c r="C139" s="9">
        <v>0</v>
      </c>
      <c r="D139" s="10">
        <f>(C71*(1-'5.Closing Stock &amp; W Capital'!$D$15))*$C$139*D$124</f>
        <v>0</v>
      </c>
      <c r="E139" s="10">
        <f>((D71*(1-'5.Closing Stock &amp; W Capital'!$D$15))+(C71*'5.Closing Stock &amp; W Capital'!$D$15))*$C$139*E$124</f>
        <v>0</v>
      </c>
      <c r="F139" s="10">
        <f>((E71*(1-'5.Closing Stock &amp; W Capital'!$D$15))+(D71*'5.Closing Stock &amp; W Capital'!$D$15))*$C$139*F$124</f>
        <v>0</v>
      </c>
      <c r="G139" s="10">
        <f>((F71*(1-'5.Closing Stock &amp; W Capital'!$D$15))+(E71*'5.Closing Stock &amp; W Capital'!$D$15))*$C$139*G$124</f>
        <v>0</v>
      </c>
      <c r="H139" s="10">
        <f>((G71*(1-'5.Closing Stock &amp; W Capital'!$D$15))+(F71*'5.Closing Stock &amp; W Capital'!$D$15))*$C$139*H$124</f>
        <v>0</v>
      </c>
      <c r="I139" s="10">
        <f>((H71*(1-'5.Closing Stock &amp; W Capital'!$D$15))+(G71*'5.Closing Stock &amp; W Capital'!$D$15))*$C$139*I$124</f>
        <v>0</v>
      </c>
      <c r="J139" s="10">
        <f>((I71*(1-'5.Closing Stock &amp; W Capital'!$D$15))+(H71*'5.Closing Stock &amp; W Capital'!$D$15))*$C$139*J$124</f>
        <v>0</v>
      </c>
      <c r="K139" s="3"/>
      <c r="U139" s="3"/>
      <c r="V139" s="3"/>
      <c r="W139" s="3"/>
    </row>
    <row r="140" spans="1:23" x14ac:dyDescent="0.25">
      <c r="A140" s="8" t="str">
        <f t="shared" si="52"/>
        <v>Bengal Gram/Channa</v>
      </c>
      <c r="B140" s="8"/>
      <c r="C140" s="9">
        <v>0</v>
      </c>
      <c r="D140" s="10">
        <f>(C72*(1-'5.Closing Stock &amp; W Capital'!$D$15))*$C$140*D$124</f>
        <v>0</v>
      </c>
      <c r="E140" s="10">
        <f>((D72*(1-'5.Closing Stock &amp; W Capital'!$D$15))+(C72*'5.Closing Stock &amp; W Capital'!$D$15))*$C$140*E$124</f>
        <v>0</v>
      </c>
      <c r="F140" s="10">
        <f>((E72*(1-'5.Closing Stock &amp; W Capital'!$D$15))+(D72*'5.Closing Stock &amp; W Capital'!$D$15))*$C$140*F$124</f>
        <v>0</v>
      </c>
      <c r="G140" s="10">
        <f>((F72*(1-'5.Closing Stock &amp; W Capital'!$D$15))+(E72*'5.Closing Stock &amp; W Capital'!$D$15))*$C$140*G$124</f>
        <v>0</v>
      </c>
      <c r="H140" s="10">
        <f>((G72*(1-'5.Closing Stock &amp; W Capital'!$D$15))+(F72*'5.Closing Stock &amp; W Capital'!$D$15))*$C$140*H$124</f>
        <v>0</v>
      </c>
      <c r="I140" s="10">
        <f>((H72*(1-'5.Closing Stock &amp; W Capital'!$D$15))+(G72*'5.Closing Stock &amp; W Capital'!$D$15))*$C$140*I$124</f>
        <v>0</v>
      </c>
      <c r="J140" s="10">
        <f>((I72*(1-'5.Closing Stock &amp; W Capital'!$D$15))+(H72*'5.Closing Stock &amp; W Capital'!$D$15))*$C$140*J$124</f>
        <v>0</v>
      </c>
      <c r="K140" s="3"/>
      <c r="U140" s="3"/>
      <c r="V140" s="3"/>
      <c r="W140" s="3"/>
    </row>
    <row r="141" spans="1:23" x14ac:dyDescent="0.25">
      <c r="A141" s="8" t="str">
        <f t="shared" si="52"/>
        <v>Jawar</v>
      </c>
      <c r="B141" s="8"/>
      <c r="C141" s="9">
        <v>0</v>
      </c>
      <c r="D141" s="10">
        <f>(C73*(1-'5.Closing Stock &amp; W Capital'!$D$15))*$C$141*D$124</f>
        <v>0</v>
      </c>
      <c r="E141" s="10">
        <f>((D73*(1-'5.Closing Stock &amp; W Capital'!$D$15))+(C73*'5.Closing Stock &amp; W Capital'!$D$15))*$C$141*E$124</f>
        <v>0</v>
      </c>
      <c r="F141" s="10">
        <f>((E73*(1-'5.Closing Stock &amp; W Capital'!$D$15))+(D73*'5.Closing Stock &amp; W Capital'!$D$15))*$C$141*F$124</f>
        <v>0</v>
      </c>
      <c r="G141" s="10">
        <f>((F73*(1-'5.Closing Stock &amp; W Capital'!$D$15))+(E73*'5.Closing Stock &amp; W Capital'!$D$15))*$C$141*G$124</f>
        <v>0</v>
      </c>
      <c r="H141" s="10">
        <f>((G73*(1-'5.Closing Stock &amp; W Capital'!$D$15))+(F73*'5.Closing Stock &amp; W Capital'!$D$15))*$C$141*H$124</f>
        <v>0</v>
      </c>
      <c r="I141" s="10">
        <f>((H73*(1-'5.Closing Stock &amp; W Capital'!$D$15))+(G73*'5.Closing Stock &amp; W Capital'!$D$15))*$C$141*I$124</f>
        <v>0</v>
      </c>
      <c r="J141" s="10">
        <f>((I73*(1-'5.Closing Stock &amp; W Capital'!$D$15))+(H73*'5.Closing Stock &amp; W Capital'!$D$15))*$C$141*J$124</f>
        <v>0</v>
      </c>
      <c r="K141" s="3"/>
      <c r="U141" s="3"/>
      <c r="V141" s="3"/>
      <c r="W141" s="3"/>
    </row>
    <row r="142" spans="1:23" x14ac:dyDescent="0.25">
      <c r="A142" s="8" t="str">
        <f t="shared" si="52"/>
        <v>Maize</v>
      </c>
      <c r="B142" s="8"/>
      <c r="C142" s="9">
        <v>0</v>
      </c>
      <c r="D142" s="10">
        <f>(C74*(1-'5.Closing Stock &amp; W Capital'!$D$15))*$C$142*D$124</f>
        <v>0</v>
      </c>
      <c r="E142" s="10">
        <f>((D74*(1-'5.Closing Stock &amp; W Capital'!$D$15))+(C74*'5.Closing Stock &amp; W Capital'!$D$15))*$C$142*E$124</f>
        <v>0</v>
      </c>
      <c r="F142" s="10">
        <f>((E74*(1-'5.Closing Stock &amp; W Capital'!$D$15))+(D74*'5.Closing Stock &amp; W Capital'!$D$15))*$C$142*F$124</f>
        <v>0</v>
      </c>
      <c r="G142" s="10">
        <f>((F74*(1-'5.Closing Stock &amp; W Capital'!$D$15))+(E74*'5.Closing Stock &amp; W Capital'!$D$15))*$C$142*G$124</f>
        <v>0</v>
      </c>
      <c r="H142" s="10">
        <f>((G74*(1-'5.Closing Stock &amp; W Capital'!$D$15))+(F74*'5.Closing Stock &amp; W Capital'!$D$15))*$C$142*H$124</f>
        <v>0</v>
      </c>
      <c r="I142" s="10">
        <f>((H74*(1-'5.Closing Stock &amp; W Capital'!$D$15))+(G74*'5.Closing Stock &amp; W Capital'!$D$15))*$C$142*I$124</f>
        <v>0</v>
      </c>
      <c r="J142" s="10">
        <f>((I74*(1-'5.Closing Stock &amp; W Capital'!$D$15))+(H74*'5.Closing Stock &amp; W Capital'!$D$15))*$C$142*J$124</f>
        <v>0</v>
      </c>
      <c r="K142" s="3"/>
      <c r="U142" s="3"/>
      <c r="V142" s="3"/>
      <c r="W142" s="3"/>
    </row>
    <row r="143" spans="1:23" x14ac:dyDescent="0.25">
      <c r="A143" s="8" t="str">
        <f t="shared" si="52"/>
        <v>Safflower</v>
      </c>
      <c r="B143" s="8"/>
      <c r="C143" s="9"/>
      <c r="D143" s="10">
        <f>(C75*(1-'5.Closing Stock &amp; W Capital'!$D$15))*$C$143*D$124</f>
        <v>0</v>
      </c>
      <c r="E143" s="10">
        <f>((D75*(1-'5.Closing Stock &amp; W Capital'!$D$15))+(C75*'5.Closing Stock &amp; W Capital'!$D$15))*$C$143*E$124</f>
        <v>0</v>
      </c>
      <c r="F143" s="10">
        <f>((E75*(1-'5.Closing Stock &amp; W Capital'!$D$15))+(D75*'5.Closing Stock &amp; W Capital'!$D$15))*$C$143*F$124</f>
        <v>0</v>
      </c>
      <c r="G143" s="10">
        <f>((F75*(1-'5.Closing Stock &amp; W Capital'!$D$15))+(E75*'5.Closing Stock &amp; W Capital'!$D$15))*$C$143*G$124</f>
        <v>0</v>
      </c>
      <c r="H143" s="10">
        <f>((G75*(1-'5.Closing Stock &amp; W Capital'!$D$15))+(F75*'5.Closing Stock &amp; W Capital'!$D$15))*$C$143*H$124</f>
        <v>0</v>
      </c>
      <c r="I143" s="10">
        <f>((H75*(1-'5.Closing Stock &amp; W Capital'!$D$15))+(G75*'5.Closing Stock &amp; W Capital'!$D$15))*$C$143*I$124</f>
        <v>0</v>
      </c>
      <c r="J143" s="10">
        <f>((I75*(1-'5.Closing Stock &amp; W Capital'!$D$15))+(H75*'5.Closing Stock &amp; W Capital'!$D$15))*$C$143*J$124</f>
        <v>0</v>
      </c>
      <c r="K143" s="3"/>
      <c r="U143" s="3"/>
      <c r="V143" s="3"/>
      <c r="W143" s="3"/>
    </row>
    <row r="144" spans="1:23" x14ac:dyDescent="0.25">
      <c r="A144" s="8">
        <f t="shared" si="52"/>
        <v>0</v>
      </c>
      <c r="B144" s="8"/>
      <c r="C144" s="9"/>
      <c r="D144" s="10">
        <f>(C76*(1-'5.Closing Stock &amp; W Capital'!$D$15))*$C$144*D$124</f>
        <v>0</v>
      </c>
      <c r="E144" s="10">
        <f>((D76*(1-'5.Closing Stock &amp; W Capital'!$D$15))+(C76*'5.Closing Stock &amp; W Capital'!$D$15))*$C$144*E$124</f>
        <v>0</v>
      </c>
      <c r="F144" s="10">
        <f>((E76*(1-'5.Closing Stock &amp; W Capital'!$D$15))+(D76*'5.Closing Stock &amp; W Capital'!$D$15))*$C$144*F$124</f>
        <v>0</v>
      </c>
      <c r="G144" s="10">
        <f>((F76*(1-'5.Closing Stock &amp; W Capital'!$D$15))+(E76*'5.Closing Stock &amp; W Capital'!$D$15))*$C$144*G$124</f>
        <v>0</v>
      </c>
      <c r="H144" s="10">
        <f>((G76*(1-'5.Closing Stock &amp; W Capital'!$D$15))+(F76*'5.Closing Stock &amp; W Capital'!$D$15))*$C$144*H$124</f>
        <v>0</v>
      </c>
      <c r="I144" s="10">
        <f>((H76*(1-'5.Closing Stock &amp; W Capital'!$D$15))+(G76*'5.Closing Stock &amp; W Capital'!$D$15))*$C$144*I$124</f>
        <v>0</v>
      </c>
      <c r="J144" s="10">
        <f>((I76*(1-'5.Closing Stock &amp; W Capital'!$D$15))+(H76*'5.Closing Stock &amp; W Capital'!$D$15))*$C$144*J$124</f>
        <v>0</v>
      </c>
      <c r="K144" s="3"/>
      <c r="U144" s="3"/>
      <c r="V144" s="3"/>
      <c r="W144" s="3"/>
    </row>
    <row r="145" spans="1:23" x14ac:dyDescent="0.25">
      <c r="A145" s="8">
        <f t="shared" si="52"/>
        <v>0</v>
      </c>
      <c r="B145" s="8"/>
      <c r="C145" s="9"/>
      <c r="D145" s="10">
        <f>(C77*(1-'5.Closing Stock &amp; W Capital'!$D$15))*$C$145*D$124</f>
        <v>0</v>
      </c>
      <c r="E145" s="10">
        <f>((D77*(1-'5.Closing Stock &amp; W Capital'!$D$15))+(C77*'5.Closing Stock &amp; W Capital'!$D$15))*$C$145*E$124</f>
        <v>0</v>
      </c>
      <c r="F145" s="10">
        <f>((E77*(1-'5.Closing Stock &amp; W Capital'!$D$15))+(D77*'5.Closing Stock &amp; W Capital'!$D$15))*$C$145*F$124</f>
        <v>0</v>
      </c>
      <c r="G145" s="10">
        <f>((F77*(1-'5.Closing Stock &amp; W Capital'!$D$15))+(E77*'5.Closing Stock &amp; W Capital'!$D$15))*$C$145*G$124</f>
        <v>0</v>
      </c>
      <c r="H145" s="10">
        <f>((G77*(1-'5.Closing Stock &amp; W Capital'!$D$15))+(F77*'5.Closing Stock &amp; W Capital'!$D$15))*$C$145*H$124</f>
        <v>0</v>
      </c>
      <c r="I145" s="10">
        <f>((H77*(1-'5.Closing Stock &amp; W Capital'!$D$15))+(G77*'5.Closing Stock &amp; W Capital'!$D$15))*$C$145*I$124</f>
        <v>0</v>
      </c>
      <c r="J145" s="10">
        <f>((I77*(1-'5.Closing Stock &amp; W Capital'!$D$15))+(H77*'5.Closing Stock &amp; W Capital'!$D$15))*$C$145*J$124</f>
        <v>0</v>
      </c>
      <c r="K145" s="3"/>
      <c r="U145" s="3"/>
      <c r="V145" s="3"/>
      <c r="W145" s="3"/>
    </row>
    <row r="146" spans="1:23" x14ac:dyDescent="0.25">
      <c r="A146" s="8">
        <f t="shared" si="52"/>
        <v>0</v>
      </c>
      <c r="B146" s="8"/>
      <c r="C146" s="9"/>
      <c r="D146" s="10">
        <f>(C78*(1-'5.Closing Stock &amp; W Capital'!$D$15))*$C$146*D$124</f>
        <v>0</v>
      </c>
      <c r="E146" s="10">
        <f>((D78*(1-'5.Closing Stock &amp; W Capital'!$D$15))+(C78*'5.Closing Stock &amp; W Capital'!$D$15))*$C$146*E$124</f>
        <v>0</v>
      </c>
      <c r="F146" s="10">
        <f>((E78*(1-'5.Closing Stock &amp; W Capital'!$D$15))+(D78*'5.Closing Stock &amp; W Capital'!$D$15))*$C$146*F$124</f>
        <v>0</v>
      </c>
      <c r="G146" s="10">
        <f>((F78*(1-'5.Closing Stock &amp; W Capital'!$D$15))+(E78*'5.Closing Stock &amp; W Capital'!$D$15))*$C$146*G$124</f>
        <v>0</v>
      </c>
      <c r="H146" s="10">
        <f>((G78*(1-'5.Closing Stock &amp; W Capital'!$D$15))+(F78*'5.Closing Stock &amp; W Capital'!$D$15))*$C$146*H$124</f>
        <v>0</v>
      </c>
      <c r="I146" s="10">
        <f>((H78*(1-'5.Closing Stock &amp; W Capital'!$D$15))+(G78*'5.Closing Stock &amp; W Capital'!$D$15))*$C$146*I$124</f>
        <v>0</v>
      </c>
      <c r="J146" s="10">
        <f>((I78*(1-'5.Closing Stock &amp; W Capital'!$D$15))+(H78*'5.Closing Stock &amp; W Capital'!$D$15))*$C$146*J$124</f>
        <v>0</v>
      </c>
      <c r="K146" s="3"/>
      <c r="U146" s="3"/>
      <c r="V146" s="3"/>
      <c r="W146" s="3"/>
    </row>
    <row r="147" spans="1:23" x14ac:dyDescent="0.25">
      <c r="A147" s="11" t="str">
        <f t="shared" si="52"/>
        <v>Summer</v>
      </c>
      <c r="B147" s="8"/>
      <c r="C147" s="9"/>
      <c r="D147" s="10"/>
      <c r="E147" s="10"/>
      <c r="F147" s="10"/>
      <c r="G147" s="10"/>
      <c r="H147" s="10"/>
      <c r="I147" s="10"/>
      <c r="J147" s="10"/>
      <c r="K147" s="3"/>
      <c r="U147" s="3"/>
      <c r="V147" s="3"/>
      <c r="W147" s="3"/>
    </row>
    <row r="148" spans="1:23" x14ac:dyDescent="0.25">
      <c r="A148" s="8" t="str">
        <f t="shared" si="52"/>
        <v>Groundnut</v>
      </c>
      <c r="B148" s="8"/>
      <c r="C148" s="9"/>
      <c r="D148" s="10">
        <f>(C80*(1-'5.Closing Stock &amp; W Capital'!$D$15))*$C$148*D$124</f>
        <v>0</v>
      </c>
      <c r="E148" s="10">
        <f>((D80*(1-'5.Closing Stock &amp; W Capital'!$D$15))+(C80*'5.Closing Stock &amp; W Capital'!$D$15))*$C$148*E$124</f>
        <v>0</v>
      </c>
      <c r="F148" s="10">
        <f>((E80*(1-'5.Closing Stock &amp; W Capital'!$D$15))+(D80*'5.Closing Stock &amp; W Capital'!$D$15))*$C$148*F$124</f>
        <v>0</v>
      </c>
      <c r="G148" s="10">
        <f>((F80*(1-'5.Closing Stock &amp; W Capital'!$D$15))+(E80*'5.Closing Stock &amp; W Capital'!$D$15))*$C$148*G$124</f>
        <v>0</v>
      </c>
      <c r="H148" s="10">
        <f>((G80*(1-'5.Closing Stock &amp; W Capital'!$D$15))+(F80*'5.Closing Stock &amp; W Capital'!$D$15))*$C$148*H$124</f>
        <v>0</v>
      </c>
      <c r="I148" s="10">
        <f>((H80*(1-'5.Closing Stock &amp; W Capital'!$D$15))+(G80*'5.Closing Stock &amp; W Capital'!$D$15))*$C$148*I$124</f>
        <v>0</v>
      </c>
      <c r="J148" s="10">
        <f>((I80*(1-'5.Closing Stock &amp; W Capital'!$D$15))+(H80*'5.Closing Stock &amp; W Capital'!$D$15))*$C$148*J$124</f>
        <v>0</v>
      </c>
      <c r="K148" s="3"/>
      <c r="U148" s="3"/>
      <c r="V148" s="3"/>
      <c r="W148" s="3"/>
    </row>
    <row r="149" spans="1:23" x14ac:dyDescent="0.25">
      <c r="A149" s="8">
        <f t="shared" si="52"/>
        <v>0</v>
      </c>
      <c r="B149" s="8"/>
      <c r="C149" s="9"/>
      <c r="D149" s="10">
        <f>(C81*(1-'5.Closing Stock &amp; W Capital'!$D$15))*$C$149*D$124</f>
        <v>0</v>
      </c>
      <c r="E149" s="10">
        <f>((D81*(1-'5.Closing Stock &amp; W Capital'!$D$15))+(C81*'5.Closing Stock &amp; W Capital'!$D$15))*$C$149*E$124</f>
        <v>0</v>
      </c>
      <c r="F149" s="10">
        <f>((E81*(1-'5.Closing Stock &amp; W Capital'!$D$15))+(D81*'5.Closing Stock &amp; W Capital'!$D$15))*$C$149*F$124</f>
        <v>0</v>
      </c>
      <c r="G149" s="10">
        <f>((F81*(1-'5.Closing Stock &amp; W Capital'!$D$15))+(E81*'5.Closing Stock &amp; W Capital'!$D$15))*$C$149*G$124</f>
        <v>0</v>
      </c>
      <c r="H149" s="10">
        <f>((G81*(1-'5.Closing Stock &amp; W Capital'!$D$15))+(F81*'5.Closing Stock &amp; W Capital'!$D$15))*$C$149*H$124</f>
        <v>0</v>
      </c>
      <c r="I149" s="10">
        <f>((H81*(1-'5.Closing Stock &amp; W Capital'!$D$15))+(G81*'5.Closing Stock &amp; W Capital'!$D$15))*$C$149*I$124</f>
        <v>0</v>
      </c>
      <c r="J149" s="10">
        <f>((I81*(1-'5.Closing Stock &amp; W Capital'!$D$15))+(H81*'5.Closing Stock &amp; W Capital'!$D$15))*$C$149*J$124</f>
        <v>0</v>
      </c>
      <c r="K149" s="3"/>
      <c r="U149" s="3"/>
      <c r="V149" s="3"/>
      <c r="W149" s="3"/>
    </row>
    <row r="150" spans="1:23" x14ac:dyDescent="0.25">
      <c r="A150" s="8">
        <f t="shared" si="52"/>
        <v>0</v>
      </c>
      <c r="B150" s="8"/>
      <c r="C150" s="9"/>
      <c r="D150" s="10">
        <f>(C82*(1-'5.Closing Stock &amp; W Capital'!$D$15))*$C$150*D$124</f>
        <v>0</v>
      </c>
      <c r="E150" s="10">
        <f>((D82*(1-'5.Closing Stock &amp; W Capital'!$D$15))+(C82*'5.Closing Stock &amp; W Capital'!$D$15))*$C$150*E$124</f>
        <v>0</v>
      </c>
      <c r="F150" s="10">
        <f>((E82*(1-'5.Closing Stock &amp; W Capital'!$D$15))+(D82*'5.Closing Stock &amp; W Capital'!$D$15))*$C$150*F$124</f>
        <v>0</v>
      </c>
      <c r="G150" s="10">
        <f>((F82*(1-'5.Closing Stock &amp; W Capital'!$D$15))+(E82*'5.Closing Stock &amp; W Capital'!$D$15))*$C$150*G$124</f>
        <v>0</v>
      </c>
      <c r="H150" s="10">
        <f>((G82*(1-'5.Closing Stock &amp; W Capital'!$D$15))+(F82*'5.Closing Stock &amp; W Capital'!$D$15))*$C$150*H$124</f>
        <v>0</v>
      </c>
      <c r="I150" s="10">
        <f>((H82*(1-'5.Closing Stock &amp; W Capital'!$D$15))+(G82*'5.Closing Stock &amp; W Capital'!$D$15))*$C$150*I$124</f>
        <v>0</v>
      </c>
      <c r="J150" s="10">
        <f>((I82*(1-'5.Closing Stock &amp; W Capital'!$D$15))+(H82*'5.Closing Stock &amp; W Capital'!$D$15))*$C$150*J$124</f>
        <v>0</v>
      </c>
      <c r="K150" s="3"/>
      <c r="U150" s="3"/>
      <c r="V150" s="3"/>
      <c r="W150" s="3"/>
    </row>
    <row r="151" spans="1:23" x14ac:dyDescent="0.25">
      <c r="A151" s="8">
        <f t="shared" si="52"/>
        <v>0</v>
      </c>
      <c r="B151" s="8"/>
      <c r="C151" s="9"/>
      <c r="D151" s="10">
        <f>(C83*(1-'5.Closing Stock &amp; W Capital'!$D$15))*$C$151*D$124</f>
        <v>0</v>
      </c>
      <c r="E151" s="10">
        <f>((D83*(1-'5.Closing Stock &amp; W Capital'!$D$15))+(C83*'5.Closing Stock &amp; W Capital'!$D$15))*$C$151*E$124</f>
        <v>0</v>
      </c>
      <c r="F151" s="10">
        <f>((E83*(1-'5.Closing Stock &amp; W Capital'!$D$15))+(D83*'5.Closing Stock &amp; W Capital'!$D$15))*$C$151*F$124</f>
        <v>0</v>
      </c>
      <c r="G151" s="10">
        <f>((F83*(1-'5.Closing Stock &amp; W Capital'!$D$15))+(E83*'5.Closing Stock &amp; W Capital'!$D$15))*$C$151*G$124</f>
        <v>0</v>
      </c>
      <c r="H151" s="10">
        <f>((G83*(1-'5.Closing Stock &amp; W Capital'!$D$15))+(F83*'5.Closing Stock &amp; W Capital'!$D$15))*$C$151*H$124</f>
        <v>0</v>
      </c>
      <c r="I151" s="10">
        <f>((H83*(1-'5.Closing Stock &amp; W Capital'!$D$15))+(G83*'5.Closing Stock &amp; W Capital'!$D$15))*$C$151*I$124</f>
        <v>0</v>
      </c>
      <c r="J151" s="10">
        <f>((I83*(1-'5.Closing Stock &amp; W Capital'!$D$15))+(H83*'5.Closing Stock &amp; W Capital'!$D$15))*$C$151*J$124</f>
        <v>0</v>
      </c>
      <c r="K151" s="3"/>
      <c r="U151" s="3"/>
      <c r="V151" s="3"/>
      <c r="W151" s="3"/>
    </row>
    <row r="152" spans="1:23" x14ac:dyDescent="0.25">
      <c r="A152" s="8">
        <f t="shared" si="52"/>
        <v>0</v>
      </c>
      <c r="B152" s="8"/>
      <c r="C152" s="9"/>
      <c r="D152" s="10">
        <f>(C84*(1-'5.Closing Stock &amp; W Capital'!$D$15))*$C$152*D$124</f>
        <v>0</v>
      </c>
      <c r="E152" s="10">
        <f>((D84*(1-'5.Closing Stock &amp; W Capital'!$D$15))+(C84*'5.Closing Stock &amp; W Capital'!$D$15))*$C$152*E$124</f>
        <v>0</v>
      </c>
      <c r="F152" s="10">
        <f>((E84*(1-'5.Closing Stock &amp; W Capital'!$D$15))+(D84*'5.Closing Stock &amp; W Capital'!$D$15))*$C$152*F$124</f>
        <v>0</v>
      </c>
      <c r="G152" s="10">
        <f>((F84*(1-'5.Closing Stock &amp; W Capital'!$D$15))+(E84*'5.Closing Stock &amp; W Capital'!$D$15))*$C$152*G$124</f>
        <v>0</v>
      </c>
      <c r="H152" s="10">
        <f>((G84*(1-'5.Closing Stock &amp; W Capital'!$D$15))+(F84*'5.Closing Stock &amp; W Capital'!$D$15))*$C$152*H$124</f>
        <v>0</v>
      </c>
      <c r="I152" s="10">
        <f>((H84*(1-'5.Closing Stock &amp; W Capital'!$D$15))+(G84*'5.Closing Stock &amp; W Capital'!$D$15))*$C$152*I$124</f>
        <v>0</v>
      </c>
      <c r="J152" s="10">
        <f>((I84*(1-'5.Closing Stock &amp; W Capital'!$D$15))+(H84*'5.Closing Stock &amp; W Capital'!$D$15))*$C$152*J$124</f>
        <v>0</v>
      </c>
      <c r="K152" s="3"/>
      <c r="U152" s="3"/>
      <c r="V152" s="3"/>
      <c r="W152" s="3"/>
    </row>
    <row r="153" spans="1:23" x14ac:dyDescent="0.25">
      <c r="A153" s="8" t="str">
        <f t="shared" si="52"/>
        <v>Fruit  &amp; Vegetables Crop Production Details</v>
      </c>
      <c r="B153" s="8"/>
      <c r="C153" s="9"/>
      <c r="D153" s="10"/>
      <c r="E153" s="10"/>
      <c r="F153" s="10"/>
      <c r="G153" s="10"/>
      <c r="H153" s="10"/>
      <c r="I153" s="10"/>
      <c r="J153" s="10"/>
      <c r="K153" s="3"/>
      <c r="U153" s="3"/>
      <c r="V153" s="3"/>
      <c r="W153" s="3"/>
    </row>
    <row r="154" spans="1:23" x14ac:dyDescent="0.25">
      <c r="A154" s="8" t="str">
        <f t="shared" si="52"/>
        <v>Onion</v>
      </c>
      <c r="B154" s="8"/>
      <c r="C154" s="9"/>
      <c r="D154" s="10">
        <f>(C86*(1-'5.Closing Stock &amp; W Capital'!$D$15))*$C154*D$124</f>
        <v>0</v>
      </c>
      <c r="E154" s="10">
        <f>((D86*(1-'5.Closing Stock &amp; W Capital'!$D$15))+(C86*'5.Closing Stock &amp; W Capital'!$D$15))*$C154*E$124</f>
        <v>0</v>
      </c>
      <c r="F154" s="10">
        <f>((E86*(1-'5.Closing Stock &amp; W Capital'!$D$15))+(D86*'5.Closing Stock &amp; W Capital'!$D$15))*$C$152*F$124</f>
        <v>0</v>
      </c>
      <c r="G154" s="10">
        <f>((F86*(1-'5.Closing Stock &amp; W Capital'!$D$15))+(E86*'5.Closing Stock &amp; W Capital'!$D$15))*$C$152*G$124</f>
        <v>0</v>
      </c>
      <c r="H154" s="10">
        <f>((G86*(1-'5.Closing Stock &amp; W Capital'!$D$15))+(F86*'5.Closing Stock &amp; W Capital'!$D$15))*$C$152*H$124</f>
        <v>0</v>
      </c>
      <c r="I154" s="10">
        <f>((H86*(1-'5.Closing Stock &amp; W Capital'!$D$15))+(G86*'5.Closing Stock &amp; W Capital'!$D$15))*$C$152*I$124</f>
        <v>0</v>
      </c>
      <c r="J154" s="10">
        <f>((I86*(1-'5.Closing Stock &amp; W Capital'!$D$15))+(H86*'5.Closing Stock &amp; W Capital'!$D$15))*$C$152*J$124</f>
        <v>0</v>
      </c>
      <c r="K154" s="3"/>
      <c r="U154" s="3"/>
      <c r="V154" s="3"/>
      <c r="W154" s="3"/>
    </row>
    <row r="155" spans="1:23" x14ac:dyDescent="0.25">
      <c r="A155" s="8" t="str">
        <f t="shared" si="52"/>
        <v>Tomato</v>
      </c>
      <c r="B155" s="8"/>
      <c r="C155" s="9"/>
      <c r="D155" s="10">
        <f>(C87*(1-'5.Closing Stock &amp; W Capital'!$D$15))*$C155*D$124</f>
        <v>0</v>
      </c>
      <c r="E155" s="10">
        <f>((D87*(1-'5.Closing Stock &amp; W Capital'!$D$15))+(C87*'5.Closing Stock &amp; W Capital'!$D$15))*$C155*E$124</f>
        <v>0</v>
      </c>
      <c r="F155" s="10">
        <f>((E87*(1-'5.Closing Stock &amp; W Capital'!$D$15))+(D87*'5.Closing Stock &amp; W Capital'!$D$15))*$C$152*F$124</f>
        <v>0</v>
      </c>
      <c r="G155" s="10">
        <f>((F87*(1-'5.Closing Stock &amp; W Capital'!$D$15))+(E87*'5.Closing Stock &amp; W Capital'!$D$15))*$C$152*G$124</f>
        <v>0</v>
      </c>
      <c r="H155" s="10">
        <f>((G87*(1-'5.Closing Stock &amp; W Capital'!$D$15))+(F87*'5.Closing Stock &amp; W Capital'!$D$15))*$C$152*H$124</f>
        <v>0</v>
      </c>
      <c r="I155" s="10">
        <f>((H87*(1-'5.Closing Stock &amp; W Capital'!$D$15))+(G87*'5.Closing Stock &amp; W Capital'!$D$15))*$C$152*I$124</f>
        <v>0</v>
      </c>
      <c r="J155" s="10">
        <f>((I87*(1-'5.Closing Stock &amp; W Capital'!$D$15))+(H87*'5.Closing Stock &amp; W Capital'!$D$15))*$C$152*J$124</f>
        <v>0</v>
      </c>
      <c r="K155" s="3"/>
      <c r="U155" s="3"/>
      <c r="V155" s="3"/>
      <c r="W155" s="3"/>
    </row>
    <row r="156" spans="1:23" x14ac:dyDescent="0.25">
      <c r="A156" s="8" t="str">
        <f t="shared" si="52"/>
        <v>Okra</v>
      </c>
      <c r="B156" s="8"/>
      <c r="C156" s="9"/>
      <c r="D156" s="10">
        <f>(C88*(1-'5.Closing Stock &amp; W Capital'!$D$15))*$C156*D$124</f>
        <v>0</v>
      </c>
      <c r="E156" s="10">
        <f>((D88*(1-'5.Closing Stock &amp; W Capital'!$D$15))+(C88*'5.Closing Stock &amp; W Capital'!$D$15))*$C156*E$124</f>
        <v>0</v>
      </c>
      <c r="F156" s="10">
        <f>((E88*(1-'5.Closing Stock &amp; W Capital'!$D$15))+(D88*'5.Closing Stock &amp; W Capital'!$D$15))*$C$152*F$124</f>
        <v>0</v>
      </c>
      <c r="G156" s="10">
        <f>((F88*(1-'5.Closing Stock &amp; W Capital'!$D$15))+(E88*'5.Closing Stock &amp; W Capital'!$D$15))*$C$152*G$124</f>
        <v>0</v>
      </c>
      <c r="H156" s="10">
        <f>((G88*(1-'5.Closing Stock &amp; W Capital'!$D$15))+(F88*'5.Closing Stock &amp; W Capital'!$D$15))*$C$152*H$124</f>
        <v>0</v>
      </c>
      <c r="I156" s="10">
        <f>((H88*(1-'5.Closing Stock &amp; W Capital'!$D$15))+(G88*'5.Closing Stock &amp; W Capital'!$D$15))*$C$152*I$124</f>
        <v>0</v>
      </c>
      <c r="J156" s="10">
        <f>((I88*(1-'5.Closing Stock &amp; W Capital'!$D$15))+(H88*'5.Closing Stock &amp; W Capital'!$D$15))*$C$152*J$124</f>
        <v>0</v>
      </c>
      <c r="K156" s="3"/>
      <c r="U156" s="3"/>
      <c r="V156" s="3"/>
      <c r="W156" s="3"/>
    </row>
    <row r="157" spans="1:23" x14ac:dyDescent="0.25">
      <c r="A157" s="8" t="str">
        <f t="shared" si="52"/>
        <v>Chilli</v>
      </c>
      <c r="B157" s="8"/>
      <c r="C157" s="9"/>
      <c r="D157" s="10">
        <f>(C89*(1-'5.Closing Stock &amp; W Capital'!$D$15))*$C157*D$124</f>
        <v>0</v>
      </c>
      <c r="E157" s="10">
        <f>((D89*(1-'5.Closing Stock &amp; W Capital'!$D$15))+(C89*'5.Closing Stock &amp; W Capital'!$D$15))*$C157*E$124</f>
        <v>0</v>
      </c>
      <c r="F157" s="10">
        <f>((E89*(1-'5.Closing Stock &amp; W Capital'!$D$15))+(D89*'5.Closing Stock &amp; W Capital'!$D$15))*$C$152*F$124</f>
        <v>0</v>
      </c>
      <c r="G157" s="10">
        <f>((F89*(1-'5.Closing Stock &amp; W Capital'!$D$15))+(E89*'5.Closing Stock &amp; W Capital'!$D$15))*$C$152*G$124</f>
        <v>0</v>
      </c>
      <c r="H157" s="10">
        <f>((G89*(1-'5.Closing Stock &amp; W Capital'!$D$15))+(F89*'5.Closing Stock &amp; W Capital'!$D$15))*$C$152*H$124</f>
        <v>0</v>
      </c>
      <c r="I157" s="10">
        <f>((H89*(1-'5.Closing Stock &amp; W Capital'!$D$15))+(G89*'5.Closing Stock &amp; W Capital'!$D$15))*$C$152*I$124</f>
        <v>0</v>
      </c>
      <c r="J157" s="10">
        <f>((I89*(1-'5.Closing Stock &amp; W Capital'!$D$15))+(H89*'5.Closing Stock &amp; W Capital'!$D$15))*$C$152*J$124</f>
        <v>0</v>
      </c>
      <c r="K157" s="3"/>
      <c r="U157" s="3"/>
      <c r="V157" s="3"/>
      <c r="W157" s="3"/>
    </row>
    <row r="158" spans="1:23" x14ac:dyDescent="0.25">
      <c r="A158" s="8" t="str">
        <f t="shared" si="52"/>
        <v>Potato</v>
      </c>
      <c r="B158" s="8"/>
      <c r="C158" s="9"/>
      <c r="D158" s="10">
        <f>(C90*(1-'5.Closing Stock &amp; W Capital'!$D$15))*$C158*D$124</f>
        <v>0</v>
      </c>
      <c r="E158" s="10">
        <f>((D90*(1-'5.Closing Stock &amp; W Capital'!$D$15))+(C90*'5.Closing Stock &amp; W Capital'!$D$15))*$C158*E$124</f>
        <v>0</v>
      </c>
      <c r="F158" s="10">
        <f>((E90*(1-'5.Closing Stock &amp; W Capital'!$D$15))+(D90*'5.Closing Stock &amp; W Capital'!$D$15))*$C$152*F$124</f>
        <v>0</v>
      </c>
      <c r="G158" s="10">
        <f>((F90*(1-'5.Closing Stock &amp; W Capital'!$D$15))+(E90*'5.Closing Stock &amp; W Capital'!$D$15))*$C$152*G$124</f>
        <v>0</v>
      </c>
      <c r="H158" s="10">
        <f>((G90*(1-'5.Closing Stock &amp; W Capital'!$D$15))+(F90*'5.Closing Stock &amp; W Capital'!$D$15))*$C$152*H$124</f>
        <v>0</v>
      </c>
      <c r="I158" s="10">
        <f>((H90*(1-'5.Closing Stock &amp; W Capital'!$D$15))+(G90*'5.Closing Stock &amp; W Capital'!$D$15))*$C$152*I$124</f>
        <v>0</v>
      </c>
      <c r="J158" s="10">
        <f>((I90*(1-'5.Closing Stock &amp; W Capital'!$D$15))+(H90*'5.Closing Stock &amp; W Capital'!$D$15))*$C$152*J$124</f>
        <v>0</v>
      </c>
      <c r="K158" s="3"/>
      <c r="U158" s="3"/>
      <c r="V158" s="3"/>
      <c r="W158" s="3"/>
    </row>
    <row r="159" spans="1:23" x14ac:dyDescent="0.25">
      <c r="A159" s="8">
        <f t="shared" si="52"/>
        <v>0</v>
      </c>
      <c r="B159" s="8"/>
      <c r="C159" s="9"/>
      <c r="D159" s="10">
        <f>(C91*(1-'5.Closing Stock &amp; W Capital'!$D$15))*$C159*D$124</f>
        <v>0</v>
      </c>
      <c r="E159" s="10">
        <f>((D91*(1-'5.Closing Stock &amp; W Capital'!$D$15))+(C91*'5.Closing Stock &amp; W Capital'!$D$15))*$C159*E$124</f>
        <v>0</v>
      </c>
      <c r="F159" s="10">
        <f>((E91*(1-'5.Closing Stock &amp; W Capital'!$D$15))+(D91*'5.Closing Stock &amp; W Capital'!$D$15))*$C$152*F$124</f>
        <v>0</v>
      </c>
      <c r="G159" s="10">
        <f>((F91*(1-'5.Closing Stock &amp; W Capital'!$D$15))+(E91*'5.Closing Stock &amp; W Capital'!$D$15))*$C$152*G$124</f>
        <v>0</v>
      </c>
      <c r="H159" s="10">
        <f>((G91*(1-'5.Closing Stock &amp; W Capital'!$D$15))+(F91*'5.Closing Stock &amp; W Capital'!$D$15))*$C$152*H$124</f>
        <v>0</v>
      </c>
      <c r="I159" s="10">
        <f>((H91*(1-'5.Closing Stock &amp; W Capital'!$D$15))+(G91*'5.Closing Stock &amp; W Capital'!$D$15))*$C$152*I$124</f>
        <v>0</v>
      </c>
      <c r="J159" s="10">
        <f>((I91*(1-'5.Closing Stock &amp; W Capital'!$D$15))+(H91*'5.Closing Stock &amp; W Capital'!$D$15))*$C$152*J$124</f>
        <v>0</v>
      </c>
      <c r="K159" s="3"/>
      <c r="U159" s="3"/>
      <c r="V159" s="3"/>
      <c r="W159" s="3"/>
    </row>
    <row r="160" spans="1:23" x14ac:dyDescent="0.25">
      <c r="A160" s="8">
        <f t="shared" si="52"/>
        <v>0</v>
      </c>
      <c r="B160" s="8"/>
      <c r="C160" s="9"/>
      <c r="D160" s="10">
        <f>(C92*(1-'5.Closing Stock &amp; W Capital'!$D$15))*$C160*D$124</f>
        <v>0</v>
      </c>
      <c r="E160" s="10">
        <f>((D92*(1-'5.Closing Stock &amp; W Capital'!$D$15))+(C92*'5.Closing Stock &amp; W Capital'!$D$15))*$C160*E$124</f>
        <v>0</v>
      </c>
      <c r="F160" s="10">
        <f>((E92*(1-'5.Closing Stock &amp; W Capital'!$D$15))+(D92*'5.Closing Stock &amp; W Capital'!$D$15))*$C$152*F$124</f>
        <v>0</v>
      </c>
      <c r="G160" s="10">
        <f>((F92*(1-'5.Closing Stock &amp; W Capital'!$D$15))+(E92*'5.Closing Stock &amp; W Capital'!$D$15))*$C$152*G$124</f>
        <v>0</v>
      </c>
      <c r="H160" s="10">
        <f>((G92*(1-'5.Closing Stock &amp; W Capital'!$D$15))+(F92*'5.Closing Stock &amp; W Capital'!$D$15))*$C$152*H$124</f>
        <v>0</v>
      </c>
      <c r="I160" s="10">
        <f>((H92*(1-'5.Closing Stock &amp; W Capital'!$D$15))+(G92*'5.Closing Stock &amp; W Capital'!$D$15))*$C$152*I$124</f>
        <v>0</v>
      </c>
      <c r="J160" s="10">
        <f>((I92*(1-'5.Closing Stock &amp; W Capital'!$D$15))+(H92*'5.Closing Stock &amp; W Capital'!$D$15))*$C$152*J$124</f>
        <v>0</v>
      </c>
      <c r="K160" s="3"/>
      <c r="U160" s="3"/>
      <c r="V160" s="3"/>
      <c r="W160" s="3"/>
    </row>
    <row r="161" spans="1:23" x14ac:dyDescent="0.25">
      <c r="A161" s="8">
        <f t="shared" ref="A161:A179" si="53">A40</f>
        <v>0</v>
      </c>
      <c r="B161" s="8"/>
      <c r="C161" s="9"/>
      <c r="D161" s="10">
        <f>(C93*(1-'5.Closing Stock &amp; W Capital'!$D$15))*$C161*D$124</f>
        <v>0</v>
      </c>
      <c r="E161" s="10">
        <f>((D93*(1-'5.Closing Stock &amp; W Capital'!$D$15))+(C93*'5.Closing Stock &amp; W Capital'!$D$15))*$C161*E$124</f>
        <v>0</v>
      </c>
      <c r="F161" s="10">
        <f>((E93*(1-'5.Closing Stock &amp; W Capital'!$D$15))+(D93*'5.Closing Stock &amp; W Capital'!$D$15))*$C$152*F$124</f>
        <v>0</v>
      </c>
      <c r="G161" s="10">
        <f>((F93*(1-'5.Closing Stock &amp; W Capital'!$D$15))+(E93*'5.Closing Stock &amp; W Capital'!$D$15))*$C$152*G$124</f>
        <v>0</v>
      </c>
      <c r="H161" s="10">
        <f>((G93*(1-'5.Closing Stock &amp; W Capital'!$D$15))+(F93*'5.Closing Stock &amp; W Capital'!$D$15))*$C$152*H$124</f>
        <v>0</v>
      </c>
      <c r="I161" s="10">
        <f>((H93*(1-'5.Closing Stock &amp; W Capital'!$D$15))+(G93*'5.Closing Stock &amp; W Capital'!$D$15))*$C$152*I$124</f>
        <v>0</v>
      </c>
      <c r="J161" s="10">
        <f>((I93*(1-'5.Closing Stock &amp; W Capital'!$D$15))+(H93*'5.Closing Stock &amp; W Capital'!$D$15))*$C$152*J$124</f>
        <v>0</v>
      </c>
      <c r="K161" s="3"/>
      <c r="U161" s="3"/>
      <c r="V161" s="3"/>
      <c r="W161" s="3"/>
    </row>
    <row r="162" spans="1:23" x14ac:dyDescent="0.25">
      <c r="A162" s="8">
        <f t="shared" si="53"/>
        <v>0</v>
      </c>
      <c r="B162" s="8"/>
      <c r="C162" s="9"/>
      <c r="D162" s="10">
        <f>(C94*(1-'5.Closing Stock &amp; W Capital'!$D$15))*$C162*D$124</f>
        <v>0</v>
      </c>
      <c r="E162" s="10">
        <f>((D94*(1-'5.Closing Stock &amp; W Capital'!$D$15))+(C94*'5.Closing Stock &amp; W Capital'!$D$15))*$C162*E$124</f>
        <v>0</v>
      </c>
      <c r="F162" s="10">
        <f>((E94*(1-'5.Closing Stock &amp; W Capital'!$D$15))+(D94*'5.Closing Stock &amp; W Capital'!$D$15))*$C$152*F$124</f>
        <v>0</v>
      </c>
      <c r="G162" s="10">
        <f>((F94*(1-'5.Closing Stock &amp; W Capital'!$D$15))+(E94*'5.Closing Stock &amp; W Capital'!$D$15))*$C$152*G$124</f>
        <v>0</v>
      </c>
      <c r="H162" s="10">
        <f>((G94*(1-'5.Closing Stock &amp; W Capital'!$D$15))+(F94*'5.Closing Stock &amp; W Capital'!$D$15))*$C$152*H$124</f>
        <v>0</v>
      </c>
      <c r="I162" s="10">
        <f>((H94*(1-'5.Closing Stock &amp; W Capital'!$D$15))+(G94*'5.Closing Stock &amp; W Capital'!$D$15))*$C$152*I$124</f>
        <v>0</v>
      </c>
      <c r="J162" s="10">
        <f>((I94*(1-'5.Closing Stock &amp; W Capital'!$D$15))+(H94*'5.Closing Stock &amp; W Capital'!$D$15))*$C$152*J$124</f>
        <v>0</v>
      </c>
      <c r="K162" s="3"/>
      <c r="U162" s="3"/>
      <c r="V162" s="3"/>
      <c r="W162" s="3"/>
    </row>
    <row r="163" spans="1:23" x14ac:dyDescent="0.25">
      <c r="A163" s="8" t="str">
        <f t="shared" si="53"/>
        <v>Onion</v>
      </c>
      <c r="B163" s="8"/>
      <c r="C163" s="9"/>
      <c r="D163" s="10">
        <f>(C95*(1-'5.Closing Stock &amp; W Capital'!$D$15))*$C163*D$124</f>
        <v>0</v>
      </c>
      <c r="E163" s="10">
        <f>((D95*(1-'5.Closing Stock &amp; W Capital'!$D$15))+(C95*'5.Closing Stock &amp; W Capital'!$D$15))*$C163*E$124</f>
        <v>0</v>
      </c>
      <c r="F163" s="10">
        <f>((E95*(1-'5.Closing Stock &amp; W Capital'!$D$15))+(D95*'5.Closing Stock &amp; W Capital'!$D$15))*$C$152*F$124</f>
        <v>0</v>
      </c>
      <c r="G163" s="10">
        <f>((F95*(1-'5.Closing Stock &amp; W Capital'!$D$15))+(E95*'5.Closing Stock &amp; W Capital'!$D$15))*$C$152*G$124</f>
        <v>0</v>
      </c>
      <c r="H163" s="10">
        <f>((G95*(1-'5.Closing Stock &amp; W Capital'!$D$15))+(F95*'5.Closing Stock &amp; W Capital'!$D$15))*$C$152*H$124</f>
        <v>0</v>
      </c>
      <c r="I163" s="10">
        <f>((H95*(1-'5.Closing Stock &amp; W Capital'!$D$15))+(G95*'5.Closing Stock &amp; W Capital'!$D$15))*$C$152*I$124</f>
        <v>0</v>
      </c>
      <c r="J163" s="10">
        <f>((I95*(1-'5.Closing Stock &amp; W Capital'!$D$15))+(H95*'5.Closing Stock &amp; W Capital'!$D$15))*$C$152*J$124</f>
        <v>0</v>
      </c>
      <c r="K163" s="3"/>
      <c r="U163" s="3"/>
      <c r="V163" s="3"/>
      <c r="W163" s="3"/>
    </row>
    <row r="164" spans="1:23" x14ac:dyDescent="0.25">
      <c r="A164" s="8" t="str">
        <f t="shared" si="53"/>
        <v>Tomato</v>
      </c>
      <c r="B164" s="8"/>
      <c r="C164" s="9"/>
      <c r="D164" s="10">
        <f>(C96*(1-'5.Closing Stock &amp; W Capital'!$D$15))*$C164*D$124</f>
        <v>0</v>
      </c>
      <c r="E164" s="10">
        <f>((D96*(1-'5.Closing Stock &amp; W Capital'!$D$15))+(C96*'5.Closing Stock &amp; W Capital'!$D$15))*$C164*E$124</f>
        <v>0</v>
      </c>
      <c r="F164" s="10">
        <f>((E96*(1-'5.Closing Stock &amp; W Capital'!$D$15))+(D96*'5.Closing Stock &amp; W Capital'!$D$15))*$C$152*F$124</f>
        <v>0</v>
      </c>
      <c r="G164" s="10">
        <f>((F96*(1-'5.Closing Stock &amp; W Capital'!$D$15))+(E96*'5.Closing Stock &amp; W Capital'!$D$15))*$C$152*G$124</f>
        <v>0</v>
      </c>
      <c r="H164" s="10">
        <f>((G96*(1-'5.Closing Stock &amp; W Capital'!$D$15))+(F96*'5.Closing Stock &amp; W Capital'!$D$15))*$C$152*H$124</f>
        <v>0</v>
      </c>
      <c r="I164" s="10">
        <f>((H96*(1-'5.Closing Stock &amp; W Capital'!$D$15))+(G96*'5.Closing Stock &amp; W Capital'!$D$15))*$C$152*I$124</f>
        <v>0</v>
      </c>
      <c r="J164" s="10">
        <f>((I96*(1-'5.Closing Stock &amp; W Capital'!$D$15))+(H96*'5.Closing Stock &amp; W Capital'!$D$15))*$C$152*J$124</f>
        <v>0</v>
      </c>
      <c r="K164" s="3"/>
      <c r="U164" s="3"/>
      <c r="V164" s="3"/>
      <c r="W164" s="3"/>
    </row>
    <row r="165" spans="1:23" x14ac:dyDescent="0.25">
      <c r="A165" s="8" t="str">
        <f t="shared" si="53"/>
        <v>Okra</v>
      </c>
      <c r="B165" s="8"/>
      <c r="C165" s="9"/>
      <c r="D165" s="10">
        <f>(C97*(1-'5.Closing Stock &amp; W Capital'!$D$15))*$C165*D$124</f>
        <v>0</v>
      </c>
      <c r="E165" s="10">
        <f>((D97*(1-'5.Closing Stock &amp; W Capital'!$D$15))+(C97*'5.Closing Stock &amp; W Capital'!$D$15))*$C165*E$124</f>
        <v>0</v>
      </c>
      <c r="F165" s="10">
        <f>((E97*(1-'5.Closing Stock &amp; W Capital'!$D$15))+(D97*'5.Closing Stock &amp; W Capital'!$D$15))*$C$152*F$124</f>
        <v>0</v>
      </c>
      <c r="G165" s="10">
        <f>((F97*(1-'5.Closing Stock &amp; W Capital'!$D$15))+(E97*'5.Closing Stock &amp; W Capital'!$D$15))*$C$152*G$124</f>
        <v>0</v>
      </c>
      <c r="H165" s="10">
        <f>((G97*(1-'5.Closing Stock &amp; W Capital'!$D$15))+(F97*'5.Closing Stock &amp; W Capital'!$D$15))*$C$152*H$124</f>
        <v>0</v>
      </c>
      <c r="I165" s="10">
        <f>((H97*(1-'5.Closing Stock &amp; W Capital'!$D$15))+(G97*'5.Closing Stock &amp; W Capital'!$D$15))*$C$152*I$124</f>
        <v>0</v>
      </c>
      <c r="J165" s="10">
        <f>((I97*(1-'5.Closing Stock &amp; W Capital'!$D$15))+(H97*'5.Closing Stock &amp; W Capital'!$D$15))*$C$152*J$124</f>
        <v>0</v>
      </c>
      <c r="K165" s="3"/>
      <c r="U165" s="3"/>
      <c r="V165" s="3"/>
      <c r="W165" s="3"/>
    </row>
    <row r="166" spans="1:23" x14ac:dyDescent="0.25">
      <c r="A166" s="8" t="str">
        <f t="shared" si="53"/>
        <v>Chilli</v>
      </c>
      <c r="B166" s="8"/>
      <c r="C166" s="9"/>
      <c r="D166" s="10">
        <f>(C98*(1-'5.Closing Stock &amp; W Capital'!$D$15))*$C166*D$124</f>
        <v>0</v>
      </c>
      <c r="E166" s="10">
        <f>((D98*(1-'5.Closing Stock &amp; W Capital'!$D$15))+(C98*'5.Closing Stock &amp; W Capital'!$D$15))*$C166*E$124</f>
        <v>0</v>
      </c>
      <c r="F166" s="10">
        <f>((E98*(1-'5.Closing Stock &amp; W Capital'!$D$15))+(D98*'5.Closing Stock &amp; W Capital'!$D$15))*$C$152*F$124</f>
        <v>0</v>
      </c>
      <c r="G166" s="10">
        <f>((F98*(1-'5.Closing Stock &amp; W Capital'!$D$15))+(E98*'5.Closing Stock &amp; W Capital'!$D$15))*$C$152*G$124</f>
        <v>0</v>
      </c>
      <c r="H166" s="10">
        <f>((G98*(1-'5.Closing Stock &amp; W Capital'!$D$15))+(F98*'5.Closing Stock &amp; W Capital'!$D$15))*$C$152*H$124</f>
        <v>0</v>
      </c>
      <c r="I166" s="10">
        <f>((H98*(1-'5.Closing Stock &amp; W Capital'!$D$15))+(G98*'5.Closing Stock &amp; W Capital'!$D$15))*$C$152*I$124</f>
        <v>0</v>
      </c>
      <c r="J166" s="10">
        <f>((I98*(1-'5.Closing Stock &amp; W Capital'!$D$15))+(H98*'5.Closing Stock &amp; W Capital'!$D$15))*$C$152*J$124</f>
        <v>0</v>
      </c>
      <c r="K166" s="3"/>
      <c r="U166" s="3"/>
      <c r="V166" s="3"/>
      <c r="W166" s="3"/>
    </row>
    <row r="167" spans="1:23" x14ac:dyDescent="0.25">
      <c r="A167" s="8" t="str">
        <f t="shared" si="53"/>
        <v>Brinjal</v>
      </c>
      <c r="B167" s="8"/>
      <c r="C167" s="9"/>
      <c r="D167" s="10">
        <f>(C99*(1-'5.Closing Stock &amp; W Capital'!$D$15))*$C167*D$124</f>
        <v>0</v>
      </c>
      <c r="E167" s="10">
        <f>((D99*(1-'5.Closing Stock &amp; W Capital'!$D$15))+(C99*'5.Closing Stock &amp; W Capital'!$D$15))*$C167*E$124</f>
        <v>0</v>
      </c>
      <c r="F167" s="10">
        <f>((E99*(1-'5.Closing Stock &amp; W Capital'!$D$15))+(D99*'5.Closing Stock &amp; W Capital'!$D$15))*$C$152*F$124</f>
        <v>0</v>
      </c>
      <c r="G167" s="10">
        <f>((F99*(1-'5.Closing Stock &amp; W Capital'!$D$15))+(E99*'5.Closing Stock &amp; W Capital'!$D$15))*$C$152*G$124</f>
        <v>0</v>
      </c>
      <c r="H167" s="10">
        <f>((G99*(1-'5.Closing Stock &amp; W Capital'!$D$15))+(F99*'5.Closing Stock &amp; W Capital'!$D$15))*$C$152*H$124</f>
        <v>0</v>
      </c>
      <c r="I167" s="10">
        <f>((H99*(1-'5.Closing Stock &amp; W Capital'!$D$15))+(G99*'5.Closing Stock &amp; W Capital'!$D$15))*$C$152*I$124</f>
        <v>0</v>
      </c>
      <c r="J167" s="10">
        <f>((I99*(1-'5.Closing Stock &amp; W Capital'!$D$15))+(H99*'5.Closing Stock &amp; W Capital'!$D$15))*$C$152*J$124</f>
        <v>0</v>
      </c>
      <c r="K167" s="3"/>
      <c r="U167" s="3"/>
      <c r="V167" s="3"/>
      <c r="W167" s="3"/>
    </row>
    <row r="168" spans="1:23" x14ac:dyDescent="0.25">
      <c r="A168" s="8">
        <f t="shared" si="53"/>
        <v>0</v>
      </c>
      <c r="B168" s="8"/>
      <c r="C168" s="9"/>
      <c r="D168" s="10">
        <f>(C100*(1-'5.Closing Stock &amp; W Capital'!$D$15))*$C168*D$124</f>
        <v>0</v>
      </c>
      <c r="E168" s="10">
        <f>((D100*(1-'5.Closing Stock &amp; W Capital'!$D$15))+(C100*'5.Closing Stock &amp; W Capital'!$D$15))*$C168*E$124</f>
        <v>0</v>
      </c>
      <c r="F168" s="10">
        <f>((E100*(1-'5.Closing Stock &amp; W Capital'!$D$15))+(D100*'5.Closing Stock &amp; W Capital'!$D$15))*$C$152*F$124</f>
        <v>0</v>
      </c>
      <c r="G168" s="10">
        <f>((F100*(1-'5.Closing Stock &amp; W Capital'!$D$15))+(E100*'5.Closing Stock &amp; W Capital'!$D$15))*$C$152*G$124</f>
        <v>0</v>
      </c>
      <c r="H168" s="10">
        <f>((G100*(1-'5.Closing Stock &amp; W Capital'!$D$15))+(F100*'5.Closing Stock &amp; W Capital'!$D$15))*$C$152*H$124</f>
        <v>0</v>
      </c>
      <c r="I168" s="10">
        <f>((H100*(1-'5.Closing Stock &amp; W Capital'!$D$15))+(G100*'5.Closing Stock &amp; W Capital'!$D$15))*$C$152*I$124</f>
        <v>0</v>
      </c>
      <c r="J168" s="10">
        <f>((I100*(1-'5.Closing Stock &amp; W Capital'!$D$15))+(H100*'5.Closing Stock &amp; W Capital'!$D$15))*$C$152*J$124</f>
        <v>0</v>
      </c>
      <c r="K168" s="3"/>
      <c r="U168" s="3"/>
      <c r="V168" s="3"/>
      <c r="W168" s="3"/>
    </row>
    <row r="169" spans="1:23" x14ac:dyDescent="0.25">
      <c r="A169" s="8">
        <f t="shared" si="53"/>
        <v>0</v>
      </c>
      <c r="B169" s="8"/>
      <c r="C169" s="9"/>
      <c r="D169" s="10">
        <f>(C101*(1-'5.Closing Stock &amp; W Capital'!$D$15))*$C169*D$124</f>
        <v>0</v>
      </c>
      <c r="E169" s="10">
        <f>((D101*(1-'5.Closing Stock &amp; W Capital'!$D$15))+(C101*'5.Closing Stock &amp; W Capital'!$D$15))*$C169*E$124</f>
        <v>0</v>
      </c>
      <c r="F169" s="10">
        <f>((E101*(1-'5.Closing Stock &amp; W Capital'!$D$15))+(D101*'5.Closing Stock &amp; W Capital'!$D$15))*$C$152*F$124</f>
        <v>0</v>
      </c>
      <c r="G169" s="10">
        <f>((F101*(1-'5.Closing Stock &amp; W Capital'!$D$15))+(E101*'5.Closing Stock &amp; W Capital'!$D$15))*$C$152*G$124</f>
        <v>0</v>
      </c>
      <c r="H169" s="10">
        <f>((G101*(1-'5.Closing Stock &amp; W Capital'!$D$15))+(F101*'5.Closing Stock &amp; W Capital'!$D$15))*$C$152*H$124</f>
        <v>0</v>
      </c>
      <c r="I169" s="10">
        <f>((H101*(1-'5.Closing Stock &amp; W Capital'!$D$15))+(G101*'5.Closing Stock &amp; W Capital'!$D$15))*$C$152*I$124</f>
        <v>0</v>
      </c>
      <c r="J169" s="10">
        <f>((I101*(1-'5.Closing Stock &amp; W Capital'!$D$15))+(H101*'5.Closing Stock &amp; W Capital'!$D$15))*$C$152*J$124</f>
        <v>0</v>
      </c>
      <c r="K169" s="3"/>
      <c r="U169" s="3"/>
      <c r="V169" s="3"/>
      <c r="W169" s="3"/>
    </row>
    <row r="170" spans="1:23" x14ac:dyDescent="0.25">
      <c r="A170" s="8">
        <f t="shared" si="53"/>
        <v>0</v>
      </c>
      <c r="B170" s="8"/>
      <c r="C170" s="9"/>
      <c r="D170" s="10">
        <f>(C102*(1-'5.Closing Stock &amp; W Capital'!$D$15))*$C170*D$124</f>
        <v>0</v>
      </c>
      <c r="E170" s="10">
        <f>((D102*(1-'5.Closing Stock &amp; W Capital'!$D$15))+(C102*'5.Closing Stock &amp; W Capital'!$D$15))*$C170*E$124</f>
        <v>0</v>
      </c>
      <c r="F170" s="10">
        <f>((E102*(1-'5.Closing Stock &amp; W Capital'!$D$15))+(D102*'5.Closing Stock &amp; W Capital'!$D$15))*$C$152*F$124</f>
        <v>0</v>
      </c>
      <c r="G170" s="10">
        <f>((F102*(1-'5.Closing Stock &amp; W Capital'!$D$15))+(E102*'5.Closing Stock &amp; W Capital'!$D$15))*$C$152*G$124</f>
        <v>0</v>
      </c>
      <c r="H170" s="10">
        <f>((G102*(1-'5.Closing Stock &amp; W Capital'!$D$15))+(F102*'5.Closing Stock &amp; W Capital'!$D$15))*$C$152*H$124</f>
        <v>0</v>
      </c>
      <c r="I170" s="10">
        <f>((H102*(1-'5.Closing Stock &amp; W Capital'!$D$15))+(G102*'5.Closing Stock &amp; W Capital'!$D$15))*$C$152*I$124</f>
        <v>0</v>
      </c>
      <c r="J170" s="10">
        <f>((I102*(1-'5.Closing Stock &amp; W Capital'!$D$15))+(H102*'5.Closing Stock &amp; W Capital'!$D$15))*$C$152*J$124</f>
        <v>0</v>
      </c>
      <c r="K170" s="3"/>
      <c r="U170" s="3"/>
      <c r="V170" s="3"/>
      <c r="W170" s="3"/>
    </row>
    <row r="171" spans="1:23" x14ac:dyDescent="0.25">
      <c r="A171" s="8">
        <f t="shared" si="53"/>
        <v>0</v>
      </c>
      <c r="B171" s="8"/>
      <c r="C171" s="9"/>
      <c r="D171" s="10">
        <f>(C103*(1-'5.Closing Stock &amp; W Capital'!$D$15))*$C171*D$124</f>
        <v>0</v>
      </c>
      <c r="E171" s="10">
        <f>((D103*(1-'5.Closing Stock &amp; W Capital'!$D$15))+(C103*'5.Closing Stock &amp; W Capital'!$D$15))*$C171*E$124</f>
        <v>0</v>
      </c>
      <c r="F171" s="10">
        <f>((E103*(1-'5.Closing Stock &amp; W Capital'!$D$15))+(D103*'5.Closing Stock &amp; W Capital'!$D$15))*$C$152*F$124</f>
        <v>0</v>
      </c>
      <c r="G171" s="10">
        <f>((F103*(1-'5.Closing Stock &amp; W Capital'!$D$15))+(E103*'5.Closing Stock &amp; W Capital'!$D$15))*$C$152*G$124</f>
        <v>0</v>
      </c>
      <c r="H171" s="10">
        <f>((G103*(1-'5.Closing Stock &amp; W Capital'!$D$15))+(F103*'5.Closing Stock &amp; W Capital'!$D$15))*$C$152*H$124</f>
        <v>0</v>
      </c>
      <c r="I171" s="10">
        <f>((H103*(1-'5.Closing Stock &amp; W Capital'!$D$15))+(G103*'5.Closing Stock &amp; W Capital'!$D$15))*$C$152*I$124</f>
        <v>0</v>
      </c>
      <c r="J171" s="10">
        <f>((I103*(1-'5.Closing Stock &amp; W Capital'!$D$15))+(H103*'5.Closing Stock &amp; W Capital'!$D$15))*$C$152*J$124</f>
        <v>0</v>
      </c>
      <c r="K171" s="3"/>
      <c r="U171" s="3"/>
      <c r="V171" s="3"/>
      <c r="W171" s="3"/>
    </row>
    <row r="172" spans="1:23" x14ac:dyDescent="0.25">
      <c r="A172" s="8">
        <f t="shared" si="53"/>
        <v>0</v>
      </c>
      <c r="B172" s="8"/>
      <c r="C172" s="9"/>
      <c r="D172" s="10">
        <f>(C104*(1-'5.Closing Stock &amp; W Capital'!$D$15))*$C172*D$124</f>
        <v>0</v>
      </c>
      <c r="E172" s="10">
        <f>((D104*(1-'5.Closing Stock &amp; W Capital'!$D$15))+(C104*'5.Closing Stock &amp; W Capital'!$D$15))*$C172*E$124</f>
        <v>0</v>
      </c>
      <c r="F172" s="10">
        <f>((E104*(1-'5.Closing Stock &amp; W Capital'!$D$15))+(D104*'5.Closing Stock &amp; W Capital'!$D$15))*$C$152*F$124</f>
        <v>0</v>
      </c>
      <c r="G172" s="10">
        <f>((F104*(1-'5.Closing Stock &amp; W Capital'!$D$15))+(E104*'5.Closing Stock &amp; W Capital'!$D$15))*$C$152*G$124</f>
        <v>0</v>
      </c>
      <c r="H172" s="10">
        <f>((G104*(1-'5.Closing Stock &amp; W Capital'!$D$15))+(F104*'5.Closing Stock &amp; W Capital'!$D$15))*$C$152*H$124</f>
        <v>0</v>
      </c>
      <c r="I172" s="10">
        <f>((H104*(1-'5.Closing Stock &amp; W Capital'!$D$15))+(G104*'5.Closing Stock &amp; W Capital'!$D$15))*$C$152*I$124</f>
        <v>0</v>
      </c>
      <c r="J172" s="10">
        <f>((I104*(1-'5.Closing Stock &amp; W Capital'!$D$15))+(H104*'5.Closing Stock &amp; W Capital'!$D$15))*$C$152*J$124</f>
        <v>0</v>
      </c>
      <c r="K172" s="3"/>
      <c r="U172" s="3"/>
      <c r="V172" s="3"/>
      <c r="W172" s="3"/>
    </row>
    <row r="173" spans="1:23" x14ac:dyDescent="0.25">
      <c r="A173" s="8">
        <f t="shared" si="53"/>
        <v>0</v>
      </c>
      <c r="B173" s="8"/>
      <c r="C173" s="9"/>
      <c r="D173" s="10">
        <f>(C105*(1-'5.Closing Stock &amp; W Capital'!$D$15))*$C173*D$124</f>
        <v>0</v>
      </c>
      <c r="E173" s="10">
        <f>((D105*(1-'5.Closing Stock &amp; W Capital'!$D$15))+(C105*'5.Closing Stock &amp; W Capital'!$D$15))*$C173*E$124</f>
        <v>0</v>
      </c>
      <c r="F173" s="10">
        <f>((E105*(1-'5.Closing Stock &amp; W Capital'!$D$15))+(D105*'5.Closing Stock &amp; W Capital'!$D$15))*$C$152*F$124</f>
        <v>0</v>
      </c>
      <c r="G173" s="10">
        <f>((F105*(1-'5.Closing Stock &amp; W Capital'!$D$15))+(E105*'5.Closing Stock &amp; W Capital'!$D$15))*$C$152*G$124</f>
        <v>0</v>
      </c>
      <c r="H173" s="10">
        <f>((G105*(1-'5.Closing Stock &amp; W Capital'!$D$15))+(F105*'5.Closing Stock &amp; W Capital'!$D$15))*$C$152*H$124</f>
        <v>0</v>
      </c>
      <c r="I173" s="10">
        <f>((H105*(1-'5.Closing Stock &amp; W Capital'!$D$15))+(G105*'5.Closing Stock &amp; W Capital'!$D$15))*$C$152*I$124</f>
        <v>0</v>
      </c>
      <c r="J173" s="10">
        <f>((I105*(1-'5.Closing Stock &amp; W Capital'!$D$15))+(H105*'5.Closing Stock &amp; W Capital'!$D$15))*$C$152*J$124</f>
        <v>0</v>
      </c>
      <c r="K173" s="3"/>
      <c r="U173" s="3"/>
      <c r="V173" s="3"/>
      <c r="W173" s="3"/>
    </row>
    <row r="174" spans="1:23" x14ac:dyDescent="0.25">
      <c r="A174" s="8">
        <f t="shared" si="53"/>
        <v>0</v>
      </c>
      <c r="B174" s="8"/>
      <c r="C174" s="9"/>
      <c r="D174" s="10">
        <f>(C106*(1-'5.Closing Stock &amp; W Capital'!$D$15))*$C174*D$124</f>
        <v>0</v>
      </c>
      <c r="E174" s="10">
        <f>((D106*(1-'5.Closing Stock &amp; W Capital'!$D$15))+(C106*'5.Closing Stock &amp; W Capital'!$D$15))*$C174*E$124</f>
        <v>0</v>
      </c>
      <c r="F174" s="10">
        <f>((E106*(1-'5.Closing Stock &amp; W Capital'!$D$15))+(D106*'5.Closing Stock &amp; W Capital'!$D$15))*$C$152*F$124</f>
        <v>0</v>
      </c>
      <c r="G174" s="10">
        <f>((F106*(1-'5.Closing Stock &amp; W Capital'!$D$15))+(E106*'5.Closing Stock &amp; W Capital'!$D$15))*$C$152*G$124</f>
        <v>0</v>
      </c>
      <c r="H174" s="10">
        <f>((G106*(1-'5.Closing Stock &amp; W Capital'!$D$15))+(F106*'5.Closing Stock &amp; W Capital'!$D$15))*$C$152*H$124</f>
        <v>0</v>
      </c>
      <c r="I174" s="10">
        <f>((H106*(1-'5.Closing Stock &amp; W Capital'!$D$15))+(G106*'5.Closing Stock &amp; W Capital'!$D$15))*$C$152*I$124</f>
        <v>0</v>
      </c>
      <c r="J174" s="10">
        <f>((I106*(1-'5.Closing Stock &amp; W Capital'!$D$15))+(H106*'5.Closing Stock &amp; W Capital'!$D$15))*$C$152*J$124</f>
        <v>0</v>
      </c>
      <c r="K174" s="3"/>
      <c r="U174" s="3"/>
      <c r="V174" s="3"/>
      <c r="W174" s="3"/>
    </row>
    <row r="175" spans="1:23" x14ac:dyDescent="0.25">
      <c r="A175" s="8" t="str">
        <f t="shared" si="53"/>
        <v>Pomegranate</v>
      </c>
      <c r="B175" s="8"/>
      <c r="C175" s="9"/>
      <c r="D175" s="10">
        <f>(C107*(1-'5.Closing Stock &amp; W Capital'!$D$15))*$C175*D$124</f>
        <v>0</v>
      </c>
      <c r="E175" s="10">
        <f>((D107*(1-'5.Closing Stock &amp; W Capital'!$D$15))+(C107*'5.Closing Stock &amp; W Capital'!$D$15))*$C175*E$124</f>
        <v>0</v>
      </c>
      <c r="F175" s="10">
        <f>((E107*(1-'5.Closing Stock &amp; W Capital'!$D$15))+(D107*'5.Closing Stock &amp; W Capital'!$D$15))*$C$152*F$124</f>
        <v>0</v>
      </c>
      <c r="G175" s="10">
        <f>((F107*(1-'5.Closing Stock &amp; W Capital'!$D$15))+(E107*'5.Closing Stock &amp; W Capital'!$D$15))*$C$152*G$124</f>
        <v>0</v>
      </c>
      <c r="H175" s="10">
        <f>((G107*(1-'5.Closing Stock &amp; W Capital'!$D$15))+(F107*'5.Closing Stock &amp; W Capital'!$D$15))*$C$152*H$124</f>
        <v>0</v>
      </c>
      <c r="I175" s="10">
        <f>((H107*(1-'5.Closing Stock &amp; W Capital'!$D$15))+(G107*'5.Closing Stock &amp; W Capital'!$D$15))*$C$152*I$124</f>
        <v>0</v>
      </c>
      <c r="J175" s="10">
        <f>((I107*(1-'5.Closing Stock &amp; W Capital'!$D$15))+(H107*'5.Closing Stock &amp; W Capital'!$D$15))*$C$152*J$124</f>
        <v>0</v>
      </c>
      <c r="K175" s="3"/>
      <c r="U175" s="3"/>
      <c r="V175" s="3"/>
      <c r="W175" s="3"/>
    </row>
    <row r="176" spans="1:23" x14ac:dyDescent="0.25">
      <c r="A176" s="8" t="str">
        <f t="shared" si="53"/>
        <v>Custard Apple</v>
      </c>
      <c r="B176" s="8"/>
      <c r="C176" s="9"/>
      <c r="D176" s="10">
        <f>(C108*(1-'5.Closing Stock &amp; W Capital'!$D$15))*$C176*D$124</f>
        <v>0</v>
      </c>
      <c r="E176" s="10">
        <f>((D108*(1-'5.Closing Stock &amp; W Capital'!$D$15))+(C108*'5.Closing Stock &amp; W Capital'!$D$15))*$C176*E$124</f>
        <v>0</v>
      </c>
      <c r="F176" s="10">
        <f>((E108*(1-'5.Closing Stock &amp; W Capital'!$D$15))+(D108*'5.Closing Stock &amp; W Capital'!$D$15))*$C$152*F$124</f>
        <v>0</v>
      </c>
      <c r="G176" s="10">
        <f>((F108*(1-'5.Closing Stock &amp; W Capital'!$D$15))+(E108*'5.Closing Stock &amp; W Capital'!$D$15))*$C$152*G$124</f>
        <v>0</v>
      </c>
      <c r="H176" s="10">
        <f>((G108*(1-'5.Closing Stock &amp; W Capital'!$D$15))+(F108*'5.Closing Stock &amp; W Capital'!$D$15))*$C$152*H$124</f>
        <v>0</v>
      </c>
      <c r="I176" s="10">
        <f>((H108*(1-'5.Closing Stock &amp; W Capital'!$D$15))+(G108*'5.Closing Stock &amp; W Capital'!$D$15))*$C$152*I$124</f>
        <v>0</v>
      </c>
      <c r="J176" s="10">
        <f>((I108*(1-'5.Closing Stock &amp; W Capital'!$D$15))+(H108*'5.Closing Stock &amp; W Capital'!$D$15))*$C$152*J$124</f>
        <v>0</v>
      </c>
      <c r="K176" s="3"/>
      <c r="U176" s="3"/>
      <c r="V176" s="3"/>
      <c r="W176" s="3"/>
    </row>
    <row r="177" spans="1:23" x14ac:dyDescent="0.25">
      <c r="A177" s="8" t="str">
        <f t="shared" si="53"/>
        <v>Guava</v>
      </c>
      <c r="B177" s="8"/>
      <c r="C177" s="9"/>
      <c r="D177" s="10">
        <f>(C109*(1-'5.Closing Stock &amp; W Capital'!$D$15))*$C177*D$124</f>
        <v>0</v>
      </c>
      <c r="E177" s="10">
        <f>((D109*(1-'5.Closing Stock &amp; W Capital'!$D$15))+(C109*'5.Closing Stock &amp; W Capital'!$D$15))*$C177*E$124</f>
        <v>0</v>
      </c>
      <c r="F177" s="10">
        <f>((E109*(1-'5.Closing Stock &amp; W Capital'!$D$15))+(D109*'5.Closing Stock &amp; W Capital'!$D$15))*$C$152*F$124</f>
        <v>0</v>
      </c>
      <c r="G177" s="10">
        <f>((F109*(1-'5.Closing Stock &amp; W Capital'!$D$15))+(E109*'5.Closing Stock &amp; W Capital'!$D$15))*$C$152*G$124</f>
        <v>0</v>
      </c>
      <c r="H177" s="10">
        <f>((G109*(1-'5.Closing Stock &amp; W Capital'!$D$15))+(F109*'5.Closing Stock &amp; W Capital'!$D$15))*$C$152*H$124</f>
        <v>0</v>
      </c>
      <c r="I177" s="10">
        <f>((H109*(1-'5.Closing Stock &amp; W Capital'!$D$15))+(G109*'5.Closing Stock &amp; W Capital'!$D$15))*$C$152*I$124</f>
        <v>0</v>
      </c>
      <c r="J177" s="10">
        <f>((I109*(1-'5.Closing Stock &amp; W Capital'!$D$15))+(H109*'5.Closing Stock &amp; W Capital'!$D$15))*$C$152*J$124</f>
        <v>0</v>
      </c>
      <c r="K177" s="3"/>
      <c r="U177" s="3"/>
      <c r="V177" s="3"/>
      <c r="W177" s="3"/>
    </row>
    <row r="178" spans="1:23" x14ac:dyDescent="0.25">
      <c r="A178" s="8" t="str">
        <f t="shared" si="53"/>
        <v>Citrus</v>
      </c>
      <c r="B178" s="8"/>
      <c r="C178" s="9"/>
      <c r="D178" s="10">
        <f>(C110*(1-'5.Closing Stock &amp; W Capital'!$D$15))*$C178*D$124</f>
        <v>0</v>
      </c>
      <c r="E178" s="10">
        <f>((D110*(1-'5.Closing Stock &amp; W Capital'!$D$15))+(C110*'5.Closing Stock &amp; W Capital'!$D$15))*$C178*E$124</f>
        <v>0</v>
      </c>
      <c r="F178" s="10">
        <f>((E110*(1-'5.Closing Stock &amp; W Capital'!$D$15))+(D110*'5.Closing Stock &amp; W Capital'!$D$15))*$C$152*F$124</f>
        <v>0</v>
      </c>
      <c r="G178" s="10">
        <f>((F110*(1-'5.Closing Stock &amp; W Capital'!$D$15))+(E110*'5.Closing Stock &amp; W Capital'!$D$15))*$C$152*G$124</f>
        <v>0</v>
      </c>
      <c r="H178" s="10">
        <f>((G110*(1-'5.Closing Stock &amp; W Capital'!$D$15))+(F110*'5.Closing Stock &amp; W Capital'!$D$15))*$C$152*H$124</f>
        <v>0</v>
      </c>
      <c r="I178" s="10">
        <f>((H110*(1-'5.Closing Stock &amp; W Capital'!$D$15))+(G110*'5.Closing Stock &amp; W Capital'!$D$15))*$C$152*I$124</f>
        <v>0</v>
      </c>
      <c r="J178" s="10">
        <f>((I110*(1-'5.Closing Stock &amp; W Capital'!$D$15))+(H110*'5.Closing Stock &amp; W Capital'!$D$15))*$C$152*J$124</f>
        <v>0</v>
      </c>
      <c r="K178" s="3"/>
      <c r="U178" s="3"/>
      <c r="V178" s="3"/>
      <c r="W178" s="3"/>
    </row>
    <row r="179" spans="1:23" x14ac:dyDescent="0.25">
      <c r="A179" s="8">
        <f t="shared" si="53"/>
        <v>0</v>
      </c>
      <c r="B179" s="8"/>
      <c r="C179" s="9"/>
      <c r="D179" s="10"/>
      <c r="E179" s="10"/>
      <c r="F179" s="10"/>
      <c r="G179" s="10"/>
      <c r="H179" s="10"/>
      <c r="I179" s="10"/>
      <c r="J179" s="10"/>
      <c r="K179" s="3"/>
      <c r="U179" s="3"/>
      <c r="V179" s="3"/>
      <c r="W179" s="3"/>
    </row>
    <row r="180" spans="1:23" x14ac:dyDescent="0.25">
      <c r="A180" s="8"/>
      <c r="B180" s="8"/>
      <c r="C180" s="10"/>
      <c r="D180" s="10"/>
      <c r="E180" s="10"/>
      <c r="F180" s="10"/>
      <c r="G180" s="10"/>
      <c r="H180" s="10"/>
      <c r="I180" s="10"/>
      <c r="J180" s="10"/>
      <c r="K180" s="3"/>
      <c r="U180" s="3"/>
      <c r="V180" s="3"/>
      <c r="W180" s="3"/>
    </row>
    <row r="181" spans="1:23" x14ac:dyDescent="0.25">
      <c r="A181" s="8" t="s">
        <v>280</v>
      </c>
      <c r="B181" s="8"/>
      <c r="C181" s="10"/>
      <c r="D181" s="10"/>
      <c r="E181" s="10"/>
      <c r="F181" s="10"/>
      <c r="G181" s="10"/>
      <c r="H181" s="10"/>
      <c r="I181" s="10"/>
      <c r="J181" s="10"/>
      <c r="K181" s="3"/>
      <c r="U181" s="3"/>
      <c r="V181" s="3"/>
      <c r="W181" s="3"/>
    </row>
    <row r="182" spans="1:23" x14ac:dyDescent="0.25">
      <c r="A182" s="8" t="s">
        <v>398</v>
      </c>
      <c r="B182" s="8"/>
      <c r="C182" s="9">
        <v>0</v>
      </c>
      <c r="D182" s="102">
        <f>(C114*(1-'5.Closing Stock &amp; W Capital'!$D$15))*$C$182*D124</f>
        <v>0</v>
      </c>
      <c r="E182" s="10">
        <f>((D114*(1-'5.Closing Stock &amp; W Capital'!$D$15))+(C114*'5.Closing Stock &amp; W Capital'!$D$15))*$C$182*E124</f>
        <v>0</v>
      </c>
      <c r="F182" s="10">
        <f>((E114*(1-'5.Closing Stock &amp; W Capital'!$D$15))+(D114*'5.Closing Stock &amp; W Capital'!$D$15))*$C$182*F124</f>
        <v>0</v>
      </c>
      <c r="G182" s="10">
        <f>((F114*(1-'5.Closing Stock &amp; W Capital'!$D$15))+(E114*'5.Closing Stock &amp; W Capital'!$D$15))*$C$182*G124</f>
        <v>0</v>
      </c>
      <c r="H182" s="10">
        <f>((G114*(1-'5.Closing Stock &amp; W Capital'!$D$15))+(F114*'5.Closing Stock &amp; W Capital'!$D$15))*$C$182*H124</f>
        <v>0</v>
      </c>
      <c r="I182" s="10">
        <f>((H114*(1-'5.Closing Stock &amp; W Capital'!$D$15))+(G114*'5.Closing Stock &amp; W Capital'!$D$15))*$C$182*I124</f>
        <v>0</v>
      </c>
      <c r="J182" s="10">
        <f>((I114*(1-'5.Closing Stock &amp; W Capital'!$D$15))+(H114*'5.Closing Stock &amp; W Capital'!$D$15))*$C$182*J124</f>
        <v>0</v>
      </c>
      <c r="K182" s="3"/>
      <c r="U182" s="3"/>
      <c r="V182" s="3"/>
      <c r="W182" s="3"/>
    </row>
    <row r="183" spans="1:23" x14ac:dyDescent="0.25">
      <c r="A183" s="8" t="s">
        <v>178</v>
      </c>
      <c r="B183" s="8"/>
      <c r="C183" s="9">
        <v>0</v>
      </c>
      <c r="D183" s="10">
        <f>(C115*(1-'5.Closing Stock &amp; W Capital'!$D$15))*$C$183*D124</f>
        <v>0</v>
      </c>
      <c r="E183" s="10">
        <f>((D115*(1-'5.Closing Stock &amp; W Capital'!$D$15))+(C115*'5.Closing Stock &amp; W Capital'!$D$15))*$C$183*E124</f>
        <v>0</v>
      </c>
      <c r="F183" s="10">
        <f>((E115*(1-'5.Closing Stock &amp; W Capital'!$D$15))+(D115*'5.Closing Stock &amp; W Capital'!$D$15))*$C$183*F124</f>
        <v>0</v>
      </c>
      <c r="G183" s="10">
        <f>((F115*(1-'5.Closing Stock &amp; W Capital'!$D$15))+(E115*'5.Closing Stock &amp; W Capital'!$D$15))*$C$183*G124</f>
        <v>0</v>
      </c>
      <c r="H183" s="10">
        <f>((G115*(1-'5.Closing Stock &amp; W Capital'!$D$15))+(F115*'5.Closing Stock &amp; W Capital'!$D$15))*$C$183*H124</f>
        <v>0</v>
      </c>
      <c r="I183" s="10">
        <f>((H115*(1-'5.Closing Stock &amp; W Capital'!$D$15))+(G115*'5.Closing Stock &amp; W Capital'!$D$15))*$C$183*I124</f>
        <v>0</v>
      </c>
      <c r="J183" s="10">
        <f>((I115*(1-'5.Closing Stock &amp; W Capital'!$D$15))+(H115*'5.Closing Stock &amp; W Capital'!$D$15))*$C$183*J124</f>
        <v>0</v>
      </c>
      <c r="K183" s="3"/>
      <c r="U183" s="3"/>
      <c r="V183" s="3"/>
      <c r="W183" s="3"/>
    </row>
    <row r="184" spans="1:23" x14ac:dyDescent="0.25">
      <c r="A184" s="8" t="s">
        <v>180</v>
      </c>
      <c r="B184" s="8"/>
      <c r="C184" s="9">
        <v>0</v>
      </c>
      <c r="D184" s="10">
        <f>(C116*(1-'5.Closing Stock &amp; W Capital'!$D$15))*$C$184*D124</f>
        <v>0</v>
      </c>
      <c r="E184" s="10">
        <f>((D116*(1-'5.Closing Stock &amp; W Capital'!$D$15))+(C116*'5.Closing Stock &amp; W Capital'!$D$15))*$C$184*E124</f>
        <v>0</v>
      </c>
      <c r="F184" s="10">
        <f>((E116*(1-'5.Closing Stock &amp; W Capital'!$D$15))+(D116*'5.Closing Stock &amp; W Capital'!$D$15))*$C$184*F124</f>
        <v>0</v>
      </c>
      <c r="G184" s="10">
        <f>((F116*(1-'5.Closing Stock &amp; W Capital'!$D$15))+(E116*'5.Closing Stock &amp; W Capital'!$D$15))*$C$184*G124</f>
        <v>0</v>
      </c>
      <c r="H184" s="10">
        <f>((G116*(1-'5.Closing Stock &amp; W Capital'!$D$15))+(F116*'5.Closing Stock &amp; W Capital'!$D$15))*$C$184*H124</f>
        <v>0</v>
      </c>
      <c r="I184" s="10">
        <f>((H116*(1-'5.Closing Stock &amp; W Capital'!$D$15))+(G116*'5.Closing Stock &amp; W Capital'!$D$15))*$C$184*I124</f>
        <v>0</v>
      </c>
      <c r="J184" s="10">
        <f>((I116*(1-'5.Closing Stock &amp; W Capital'!$D$15))+(H116*'5.Closing Stock &amp; W Capital'!$D$15))*$C$184*J124</f>
        <v>0</v>
      </c>
      <c r="K184" s="3"/>
      <c r="U184" s="3"/>
      <c r="V184" s="3"/>
      <c r="W184" s="3"/>
    </row>
    <row r="185" spans="1:23" x14ac:dyDescent="0.25">
      <c r="A185" s="8"/>
      <c r="B185" s="8"/>
      <c r="C185" s="10"/>
      <c r="D185" s="10"/>
      <c r="E185" s="10"/>
      <c r="F185" s="10"/>
      <c r="G185" s="10"/>
      <c r="H185" s="10"/>
      <c r="I185" s="10"/>
      <c r="J185" s="10"/>
      <c r="K185" s="3"/>
      <c r="U185" s="3"/>
      <c r="V185" s="3"/>
      <c r="W185" s="3"/>
    </row>
    <row r="186" spans="1:23" x14ac:dyDescent="0.25">
      <c r="A186" s="8" t="s">
        <v>179</v>
      </c>
      <c r="B186" s="8"/>
      <c r="C186" s="10"/>
      <c r="D186" s="10"/>
      <c r="E186" s="10"/>
      <c r="F186" s="10"/>
      <c r="G186" s="10"/>
      <c r="H186" s="10"/>
      <c r="I186" s="10"/>
      <c r="J186" s="10"/>
      <c r="K186" s="3"/>
      <c r="U186" s="3"/>
      <c r="V186" s="3"/>
      <c r="W186" s="3"/>
    </row>
    <row r="187" spans="1:23" x14ac:dyDescent="0.25">
      <c r="A187" s="8" t="s">
        <v>185</v>
      </c>
      <c r="B187" s="8"/>
      <c r="C187" s="9">
        <v>0</v>
      </c>
      <c r="D187" s="10">
        <f>(C118*(1-'5.Closing Stock &amp; W Capital'!$D$15))*$C$187*D124</f>
        <v>0</v>
      </c>
      <c r="E187" s="10">
        <f>((D118*(1-'5.Closing Stock &amp; W Capital'!$D$15))+(C118*'5.Closing Stock &amp; W Capital'!$D$15))*$C$187*E124</f>
        <v>0</v>
      </c>
      <c r="F187" s="10">
        <f>((E118*(1-'5.Closing Stock &amp; W Capital'!$D$15))+(D118*'5.Closing Stock &amp; W Capital'!$D$15))*$C$187*F124</f>
        <v>0</v>
      </c>
      <c r="G187" s="10">
        <f>((F118*(1-'5.Closing Stock &amp; W Capital'!$D$15))+(E118*'5.Closing Stock &amp; W Capital'!$D$15))*$C$187*G124</f>
        <v>0</v>
      </c>
      <c r="H187" s="10">
        <f>((G118*(1-'5.Closing Stock &amp; W Capital'!$D$15))+(F118*'5.Closing Stock &amp; W Capital'!$D$15))*$C$187*H124</f>
        <v>0</v>
      </c>
      <c r="I187" s="10">
        <f>((H118*(1-'5.Closing Stock &amp; W Capital'!$D$15))+(G118*'5.Closing Stock &amp; W Capital'!$D$15))*$C$187*I124</f>
        <v>0</v>
      </c>
      <c r="J187" s="10">
        <f>((I118*(1-'5.Closing Stock &amp; W Capital'!$D$15))+(H118*'5.Closing Stock &amp; W Capital'!$D$15))*$C$187*J124</f>
        <v>0</v>
      </c>
      <c r="K187" s="3"/>
      <c r="U187" s="96"/>
      <c r="V187" s="96"/>
      <c r="W187" s="96"/>
    </row>
    <row r="188" spans="1:23" x14ac:dyDescent="0.25">
      <c r="A188" s="8" t="s">
        <v>186</v>
      </c>
      <c r="B188" s="8"/>
      <c r="C188" s="9">
        <v>0</v>
      </c>
      <c r="D188" s="10">
        <f>(C119*(1-'5.Closing Stock &amp; W Capital'!$D$15))*$C$188*D124</f>
        <v>0</v>
      </c>
      <c r="E188" s="10">
        <f>((D119*(1-'5.Closing Stock &amp; W Capital'!$D$15))+(C119*'5.Closing Stock &amp; W Capital'!$D$15))*$C$188*E124</f>
        <v>0</v>
      </c>
      <c r="F188" s="10">
        <f>((E119*(1-'5.Closing Stock &amp; W Capital'!$D$15))+(D119*'5.Closing Stock &amp; W Capital'!$D$15))*$C$188*F124</f>
        <v>0</v>
      </c>
      <c r="G188" s="10">
        <f>((F119*(1-'5.Closing Stock &amp; W Capital'!$D$15))+(E119*'5.Closing Stock &amp; W Capital'!$D$15))*$C$188*G124</f>
        <v>0</v>
      </c>
      <c r="H188" s="10">
        <f>((G119*(1-'5.Closing Stock &amp; W Capital'!$D$15))+(F119*'5.Closing Stock &amp; W Capital'!$D$15))*$C$188*H124</f>
        <v>0</v>
      </c>
      <c r="I188" s="10">
        <f>((H119*(1-'5.Closing Stock &amp; W Capital'!$D$15))+(G119*'5.Closing Stock &amp; W Capital'!$D$15))*$C$188*I124</f>
        <v>0</v>
      </c>
      <c r="J188" s="10">
        <f>((I119*(1-'5.Closing Stock &amp; W Capital'!$D$15))+(H119*'5.Closing Stock &amp; W Capital'!$D$15))*$C$188*J124</f>
        <v>0</v>
      </c>
      <c r="K188" s="3"/>
      <c r="U188" s="3"/>
      <c r="V188" s="3"/>
      <c r="W188" s="3"/>
    </row>
    <row r="189" spans="1:23" x14ac:dyDescent="0.25">
      <c r="A189" s="8"/>
      <c r="B189" s="8"/>
      <c r="C189" s="10"/>
      <c r="D189" s="10"/>
      <c r="E189" s="10"/>
      <c r="F189" s="10"/>
      <c r="G189" s="10"/>
      <c r="H189" s="10"/>
      <c r="I189" s="10"/>
      <c r="J189" s="10"/>
      <c r="K189" s="3"/>
      <c r="U189" s="3"/>
      <c r="V189" s="3"/>
      <c r="W189" s="3"/>
    </row>
    <row r="190" spans="1:23" x14ac:dyDescent="0.25">
      <c r="A190" s="8"/>
      <c r="B190" s="8"/>
      <c r="C190" s="10"/>
      <c r="D190" s="10"/>
      <c r="E190" s="10"/>
      <c r="F190" s="10"/>
      <c r="G190" s="10"/>
      <c r="H190" s="10"/>
      <c r="I190" s="10"/>
      <c r="J190" s="10"/>
      <c r="K190" s="3"/>
      <c r="U190" s="3"/>
      <c r="V190" s="3"/>
      <c r="W190" s="3"/>
    </row>
    <row r="191" spans="1:23" x14ac:dyDescent="0.25">
      <c r="A191" s="11" t="s">
        <v>142</v>
      </c>
      <c r="B191" s="11"/>
      <c r="C191" s="12"/>
      <c r="D191" s="12">
        <f t="shared" ref="D191:J191" si="54">SUM(D130:D188)</f>
        <v>0</v>
      </c>
      <c r="E191" s="12">
        <f t="shared" si="54"/>
        <v>0</v>
      </c>
      <c r="F191" s="12">
        <f t="shared" si="54"/>
        <v>0</v>
      </c>
      <c r="G191" s="12">
        <f t="shared" si="54"/>
        <v>0</v>
      </c>
      <c r="H191" s="12">
        <f t="shared" si="54"/>
        <v>0</v>
      </c>
      <c r="I191" s="12">
        <f t="shared" si="54"/>
        <v>0</v>
      </c>
      <c r="J191" s="12">
        <f t="shared" si="54"/>
        <v>0</v>
      </c>
      <c r="K191" s="3"/>
      <c r="U191" s="3"/>
      <c r="V191" s="3"/>
      <c r="W191" s="3"/>
    </row>
    <row r="192" spans="1:23" x14ac:dyDescent="0.25">
      <c r="A192" s="8"/>
      <c r="B192" s="8"/>
      <c r="C192" s="10"/>
      <c r="D192" s="10"/>
      <c r="E192" s="10"/>
      <c r="F192" s="10"/>
      <c r="G192" s="10"/>
      <c r="H192" s="10"/>
      <c r="I192" s="10"/>
      <c r="J192" s="10"/>
      <c r="K192" s="3"/>
      <c r="U192" s="3"/>
      <c r="V192" s="3"/>
      <c r="W192" s="3"/>
    </row>
    <row r="193" spans="1:23" x14ac:dyDescent="0.25">
      <c r="A193" s="8"/>
      <c r="B193" s="8"/>
      <c r="C193" s="10"/>
      <c r="D193" s="10"/>
      <c r="E193" s="10"/>
      <c r="F193" s="10"/>
      <c r="G193" s="10"/>
      <c r="H193" s="10"/>
      <c r="I193" s="10"/>
      <c r="J193" s="10"/>
      <c r="K193" s="3"/>
      <c r="U193" s="3"/>
      <c r="V193" s="3"/>
      <c r="W193" s="3"/>
    </row>
    <row r="194" spans="1:23" x14ac:dyDescent="0.25">
      <c r="A194" s="11" t="s">
        <v>141</v>
      </c>
      <c r="B194" s="11"/>
      <c r="C194" s="10"/>
      <c r="D194" s="10"/>
      <c r="E194" s="10"/>
      <c r="F194" s="10"/>
      <c r="G194" s="10"/>
      <c r="H194" s="10"/>
      <c r="I194" s="10"/>
      <c r="J194" s="10"/>
      <c r="K194" s="3"/>
      <c r="U194" s="3"/>
      <c r="V194" s="3"/>
      <c r="W194" s="3"/>
    </row>
    <row r="195" spans="1:23" x14ac:dyDescent="0.25">
      <c r="A195" s="11" t="str">
        <f>A128</f>
        <v>Seeds (Rate/KG)</v>
      </c>
      <c r="B195" s="11"/>
      <c r="C195" s="10"/>
      <c r="D195" s="10"/>
      <c r="E195" s="10"/>
      <c r="F195" s="10"/>
      <c r="G195" s="10"/>
      <c r="H195" s="10"/>
      <c r="I195" s="10"/>
      <c r="J195" s="10"/>
      <c r="K195" s="3"/>
      <c r="U195" s="3"/>
      <c r="V195" s="3"/>
      <c r="W195" s="3"/>
    </row>
    <row r="196" spans="1:23" x14ac:dyDescent="0.25">
      <c r="A196" s="3" t="s">
        <v>305</v>
      </c>
      <c r="B196" s="3"/>
      <c r="C196" s="3"/>
      <c r="D196" s="3"/>
      <c r="E196" s="3"/>
      <c r="F196" s="3"/>
      <c r="G196" s="3"/>
      <c r="H196" s="3"/>
      <c r="I196" s="3"/>
      <c r="J196" s="3"/>
      <c r="K196" s="3"/>
      <c r="U196" s="3"/>
      <c r="V196" s="3"/>
      <c r="W196" s="3"/>
    </row>
    <row r="197" spans="1:23" x14ac:dyDescent="0.25">
      <c r="A197" s="8">
        <f t="shared" ref="A197:A238" si="55">A130</f>
        <v>0</v>
      </c>
      <c r="B197" s="3"/>
      <c r="C197" s="9">
        <v>0</v>
      </c>
      <c r="D197" s="10">
        <f>C62*$C197*D$124</f>
        <v>0</v>
      </c>
      <c r="E197" s="10">
        <f t="shared" ref="D197:J206" si="56">D62*$C197*E$124</f>
        <v>0</v>
      </c>
      <c r="F197" s="10">
        <f t="shared" si="56"/>
        <v>0</v>
      </c>
      <c r="G197" s="10">
        <f t="shared" si="56"/>
        <v>0</v>
      </c>
      <c r="H197" s="10">
        <f t="shared" si="56"/>
        <v>0</v>
      </c>
      <c r="I197" s="10">
        <f t="shared" si="56"/>
        <v>0</v>
      </c>
      <c r="J197" s="10">
        <f t="shared" si="56"/>
        <v>0</v>
      </c>
      <c r="K197" s="3"/>
      <c r="U197" s="3"/>
      <c r="V197" s="3"/>
      <c r="W197" s="3"/>
    </row>
    <row r="198" spans="1:23" x14ac:dyDescent="0.25">
      <c r="A198" s="8" t="str">
        <f t="shared" si="55"/>
        <v>Red Gram/Tur</v>
      </c>
      <c r="B198" s="8"/>
      <c r="C198" s="9">
        <v>0</v>
      </c>
      <c r="D198" s="10">
        <f t="shared" si="56"/>
        <v>0</v>
      </c>
      <c r="E198" s="10">
        <f t="shared" si="56"/>
        <v>0</v>
      </c>
      <c r="F198" s="10">
        <f t="shared" si="56"/>
        <v>0</v>
      </c>
      <c r="G198" s="10">
        <f t="shared" si="56"/>
        <v>0</v>
      </c>
      <c r="H198" s="10">
        <f t="shared" si="56"/>
        <v>0</v>
      </c>
      <c r="I198" s="10">
        <f t="shared" si="56"/>
        <v>0</v>
      </c>
      <c r="J198" s="10">
        <f t="shared" si="56"/>
        <v>0</v>
      </c>
      <c r="K198" s="3"/>
      <c r="U198" s="3"/>
      <c r="V198" s="3"/>
      <c r="W198" s="3"/>
    </row>
    <row r="199" spans="1:23" x14ac:dyDescent="0.25">
      <c r="A199" s="8" t="str">
        <f t="shared" si="55"/>
        <v>Paddy/Rice</v>
      </c>
      <c r="B199" s="8"/>
      <c r="C199" s="9">
        <v>57</v>
      </c>
      <c r="D199" s="10">
        <f t="shared" si="56"/>
        <v>0</v>
      </c>
      <c r="E199" s="10">
        <f t="shared" si="56"/>
        <v>0</v>
      </c>
      <c r="F199" s="10">
        <f t="shared" si="56"/>
        <v>0</v>
      </c>
      <c r="G199" s="10">
        <f t="shared" si="56"/>
        <v>0</v>
      </c>
      <c r="H199" s="10">
        <f t="shared" si="56"/>
        <v>0</v>
      </c>
      <c r="I199" s="10">
        <f t="shared" si="56"/>
        <v>0</v>
      </c>
      <c r="J199" s="10">
        <f t="shared" si="56"/>
        <v>0</v>
      </c>
      <c r="K199" s="3"/>
      <c r="U199" s="3"/>
      <c r="V199" s="3"/>
      <c r="W199" s="3"/>
    </row>
    <row r="200" spans="1:23" x14ac:dyDescent="0.25">
      <c r="A200" s="8" t="str">
        <f t="shared" si="55"/>
        <v>Green Gram/ Moong</v>
      </c>
      <c r="B200" s="8"/>
      <c r="C200" s="9">
        <v>80</v>
      </c>
      <c r="D200" s="10">
        <f t="shared" si="56"/>
        <v>0</v>
      </c>
      <c r="E200" s="10">
        <f t="shared" si="56"/>
        <v>0</v>
      </c>
      <c r="F200" s="10">
        <f t="shared" si="56"/>
        <v>0</v>
      </c>
      <c r="G200" s="10">
        <f t="shared" si="56"/>
        <v>0</v>
      </c>
      <c r="H200" s="10">
        <f t="shared" si="56"/>
        <v>0</v>
      </c>
      <c r="I200" s="10">
        <f t="shared" si="56"/>
        <v>0</v>
      </c>
      <c r="J200" s="10">
        <f t="shared" si="56"/>
        <v>0</v>
      </c>
      <c r="K200" s="3"/>
      <c r="L200" s="3"/>
      <c r="M200" s="3"/>
      <c r="N200" s="3"/>
      <c r="O200" s="3"/>
      <c r="P200" s="3"/>
      <c r="Q200" s="3"/>
      <c r="R200" s="3"/>
      <c r="S200" s="3"/>
      <c r="T200" s="3"/>
      <c r="U200" s="3"/>
      <c r="V200" s="3"/>
      <c r="W200" s="3"/>
    </row>
    <row r="201" spans="1:23" x14ac:dyDescent="0.25">
      <c r="A201" s="8" t="str">
        <f t="shared" si="55"/>
        <v>Maize</v>
      </c>
      <c r="B201" s="8"/>
      <c r="C201" s="9">
        <v>25</v>
      </c>
      <c r="D201" s="10">
        <f t="shared" si="56"/>
        <v>0</v>
      </c>
      <c r="E201" s="10">
        <f t="shared" si="56"/>
        <v>0</v>
      </c>
      <c r="F201" s="10">
        <f t="shared" si="56"/>
        <v>0</v>
      </c>
      <c r="G201" s="10">
        <f t="shared" si="56"/>
        <v>0</v>
      </c>
      <c r="H201" s="10">
        <f t="shared" si="56"/>
        <v>0</v>
      </c>
      <c r="I201" s="10">
        <f t="shared" si="56"/>
        <v>0</v>
      </c>
      <c r="J201" s="10">
        <f t="shared" si="56"/>
        <v>0</v>
      </c>
      <c r="K201" s="3"/>
      <c r="L201" s="3"/>
      <c r="M201" s="3"/>
      <c r="N201" s="3"/>
      <c r="O201" s="3"/>
      <c r="P201" s="3"/>
      <c r="Q201" s="3"/>
      <c r="R201" s="3"/>
      <c r="S201" s="3"/>
      <c r="T201" s="3"/>
      <c r="U201" s="3"/>
      <c r="V201" s="3"/>
      <c r="W201" s="3"/>
    </row>
    <row r="202" spans="1:23" x14ac:dyDescent="0.25">
      <c r="A202" s="8" t="str">
        <f t="shared" si="55"/>
        <v>Black Gram/Udid</v>
      </c>
      <c r="B202" s="8"/>
      <c r="C202" s="9">
        <v>70</v>
      </c>
      <c r="D202" s="10">
        <f t="shared" si="56"/>
        <v>0</v>
      </c>
      <c r="E202" s="10">
        <f t="shared" si="56"/>
        <v>0</v>
      </c>
      <c r="F202" s="10">
        <f t="shared" si="56"/>
        <v>0</v>
      </c>
      <c r="G202" s="10">
        <f t="shared" si="56"/>
        <v>0</v>
      </c>
      <c r="H202" s="10">
        <f t="shared" si="56"/>
        <v>0</v>
      </c>
      <c r="I202" s="10">
        <f t="shared" si="56"/>
        <v>0</v>
      </c>
      <c r="J202" s="10">
        <f t="shared" si="56"/>
        <v>0</v>
      </c>
      <c r="K202" s="3"/>
      <c r="L202" s="3"/>
      <c r="M202" s="3"/>
      <c r="N202" s="3"/>
      <c r="O202" s="3"/>
      <c r="P202" s="3"/>
      <c r="Q202" s="3"/>
      <c r="R202" s="3"/>
      <c r="S202" s="3"/>
      <c r="T202" s="3"/>
      <c r="U202" s="3"/>
      <c r="V202" s="3"/>
      <c r="W202" s="3"/>
    </row>
    <row r="203" spans="1:23" x14ac:dyDescent="0.25">
      <c r="A203" s="8" t="str">
        <f t="shared" si="55"/>
        <v>Bajra</v>
      </c>
      <c r="B203" s="8"/>
      <c r="C203" s="9">
        <v>25</v>
      </c>
      <c r="D203" s="10">
        <f t="shared" si="56"/>
        <v>0</v>
      </c>
      <c r="E203" s="10">
        <f t="shared" si="56"/>
        <v>0</v>
      </c>
      <c r="F203" s="10">
        <f t="shared" si="56"/>
        <v>0</v>
      </c>
      <c r="G203" s="10">
        <f t="shared" si="56"/>
        <v>0</v>
      </c>
      <c r="H203" s="10">
        <f t="shared" si="56"/>
        <v>0</v>
      </c>
      <c r="I203" s="10">
        <f t="shared" si="56"/>
        <v>0</v>
      </c>
      <c r="J203" s="10">
        <f t="shared" si="56"/>
        <v>0</v>
      </c>
      <c r="K203" s="3"/>
      <c r="L203" s="3"/>
      <c r="M203" s="3"/>
      <c r="N203" s="3"/>
      <c r="O203" s="3"/>
      <c r="P203" s="3"/>
      <c r="Q203" s="3"/>
      <c r="R203" s="3"/>
      <c r="S203" s="3"/>
      <c r="T203" s="3"/>
      <c r="U203" s="3"/>
      <c r="V203" s="3"/>
      <c r="W203" s="3"/>
    </row>
    <row r="204" spans="1:23" x14ac:dyDescent="0.25">
      <c r="A204" s="8" t="str">
        <f t="shared" si="55"/>
        <v>Jawar</v>
      </c>
      <c r="B204" s="8"/>
      <c r="C204" s="9">
        <v>25</v>
      </c>
      <c r="D204" s="10">
        <f t="shared" si="56"/>
        <v>0</v>
      </c>
      <c r="E204" s="10">
        <f t="shared" si="56"/>
        <v>0</v>
      </c>
      <c r="F204" s="10">
        <f t="shared" si="56"/>
        <v>0</v>
      </c>
      <c r="G204" s="10">
        <f t="shared" si="56"/>
        <v>0</v>
      </c>
      <c r="H204" s="10">
        <f t="shared" si="56"/>
        <v>0</v>
      </c>
      <c r="I204" s="10">
        <f t="shared" si="56"/>
        <v>0</v>
      </c>
      <c r="J204" s="10">
        <f t="shared" si="56"/>
        <v>0</v>
      </c>
      <c r="K204" s="3"/>
      <c r="L204" s="3"/>
      <c r="M204" s="3"/>
      <c r="N204" s="3"/>
      <c r="O204" s="3"/>
      <c r="P204" s="3"/>
      <c r="Q204" s="3"/>
      <c r="R204" s="3"/>
      <c r="S204" s="3"/>
      <c r="T204" s="3"/>
      <c r="U204" s="3"/>
      <c r="V204" s="3"/>
      <c r="W204" s="3"/>
    </row>
    <row r="205" spans="1:23" x14ac:dyDescent="0.25">
      <c r="A205" s="11" t="str">
        <f t="shared" si="55"/>
        <v>Rabi Crop</v>
      </c>
      <c r="B205" s="8"/>
      <c r="C205" s="9"/>
      <c r="D205" s="10">
        <f t="shared" si="56"/>
        <v>0</v>
      </c>
      <c r="E205" s="10">
        <f t="shared" si="56"/>
        <v>0</v>
      </c>
      <c r="F205" s="10">
        <f t="shared" si="56"/>
        <v>0</v>
      </c>
      <c r="G205" s="10">
        <f t="shared" si="56"/>
        <v>0</v>
      </c>
      <c r="H205" s="10">
        <f t="shared" si="56"/>
        <v>0</v>
      </c>
      <c r="I205" s="10">
        <f t="shared" si="56"/>
        <v>0</v>
      </c>
      <c r="J205" s="10">
        <f t="shared" si="56"/>
        <v>0</v>
      </c>
      <c r="K205" s="3"/>
      <c r="L205" s="3"/>
      <c r="M205" s="3"/>
      <c r="N205" s="3"/>
      <c r="O205" s="3"/>
      <c r="P205" s="3"/>
      <c r="Q205" s="3"/>
      <c r="R205" s="3"/>
      <c r="S205" s="3"/>
      <c r="T205" s="3"/>
      <c r="U205" s="3"/>
      <c r="V205" s="3"/>
      <c r="W205" s="3"/>
    </row>
    <row r="206" spans="1:23" x14ac:dyDescent="0.25">
      <c r="A206" s="8" t="str">
        <f t="shared" si="55"/>
        <v>Wheat</v>
      </c>
      <c r="B206" s="8"/>
      <c r="C206" s="9">
        <v>35</v>
      </c>
      <c r="D206" s="10">
        <f t="shared" si="56"/>
        <v>0</v>
      </c>
      <c r="E206" s="10">
        <f t="shared" si="56"/>
        <v>0</v>
      </c>
      <c r="F206" s="10">
        <f t="shared" si="56"/>
        <v>0</v>
      </c>
      <c r="G206" s="10">
        <f t="shared" si="56"/>
        <v>0</v>
      </c>
      <c r="H206" s="10">
        <f t="shared" si="56"/>
        <v>0</v>
      </c>
      <c r="I206" s="10">
        <f t="shared" si="56"/>
        <v>0</v>
      </c>
      <c r="J206" s="10">
        <f t="shared" si="56"/>
        <v>0</v>
      </c>
      <c r="K206" s="3"/>
      <c r="L206" s="3"/>
      <c r="M206" s="3"/>
      <c r="N206" s="3"/>
      <c r="O206" s="3"/>
      <c r="P206" s="3"/>
      <c r="Q206" s="3"/>
      <c r="R206" s="3"/>
      <c r="S206" s="3"/>
      <c r="T206" s="3"/>
      <c r="U206" s="3"/>
      <c r="V206" s="3"/>
      <c r="W206" s="3"/>
    </row>
    <row r="207" spans="1:23" x14ac:dyDescent="0.25">
      <c r="A207" s="8" t="str">
        <f t="shared" si="55"/>
        <v>Bengal Gram/Channa</v>
      </c>
      <c r="B207" s="8"/>
      <c r="C207" s="9">
        <v>0</v>
      </c>
      <c r="D207" s="10">
        <f t="shared" ref="D207:J216" si="57">C72*$C207*D$124</f>
        <v>0</v>
      </c>
      <c r="E207" s="10">
        <f t="shared" si="57"/>
        <v>0</v>
      </c>
      <c r="F207" s="10">
        <f t="shared" si="57"/>
        <v>0</v>
      </c>
      <c r="G207" s="10">
        <f t="shared" si="57"/>
        <v>0</v>
      </c>
      <c r="H207" s="10">
        <f t="shared" si="57"/>
        <v>0</v>
      </c>
      <c r="I207" s="10">
        <f t="shared" si="57"/>
        <v>0</v>
      </c>
      <c r="J207" s="10">
        <f t="shared" si="57"/>
        <v>0</v>
      </c>
      <c r="K207" s="3"/>
      <c r="L207" s="3"/>
      <c r="M207" s="3"/>
      <c r="N207" s="3"/>
      <c r="O207" s="3"/>
      <c r="P207" s="3"/>
      <c r="Q207" s="3"/>
      <c r="R207" s="3"/>
      <c r="S207" s="3"/>
      <c r="T207" s="3"/>
      <c r="U207" s="3"/>
      <c r="V207" s="3"/>
      <c r="W207" s="3"/>
    </row>
    <row r="208" spans="1:23" x14ac:dyDescent="0.25">
      <c r="A208" s="8" t="str">
        <f t="shared" si="55"/>
        <v>Jawar</v>
      </c>
      <c r="B208" s="8"/>
      <c r="C208" s="9">
        <v>25</v>
      </c>
      <c r="D208" s="10">
        <f t="shared" si="57"/>
        <v>0</v>
      </c>
      <c r="E208" s="10">
        <f t="shared" si="57"/>
        <v>0</v>
      </c>
      <c r="F208" s="10">
        <f t="shared" si="57"/>
        <v>0</v>
      </c>
      <c r="G208" s="10">
        <f t="shared" si="57"/>
        <v>0</v>
      </c>
      <c r="H208" s="10">
        <f t="shared" si="57"/>
        <v>0</v>
      </c>
      <c r="I208" s="10">
        <f t="shared" si="57"/>
        <v>0</v>
      </c>
      <c r="J208" s="10">
        <f t="shared" si="57"/>
        <v>0</v>
      </c>
      <c r="K208" s="3"/>
      <c r="L208" s="3"/>
      <c r="M208" s="3"/>
      <c r="N208" s="3"/>
      <c r="O208" s="3"/>
      <c r="P208" s="3"/>
      <c r="Q208" s="3"/>
      <c r="R208" s="3"/>
      <c r="S208" s="3"/>
      <c r="T208" s="3"/>
      <c r="U208" s="3"/>
      <c r="V208" s="3"/>
      <c r="W208" s="3"/>
    </row>
    <row r="209" spans="1:23" x14ac:dyDescent="0.25">
      <c r="A209" s="8" t="str">
        <f t="shared" si="55"/>
        <v>Maize</v>
      </c>
      <c r="B209" s="8"/>
      <c r="C209" s="9">
        <v>25</v>
      </c>
      <c r="D209" s="10">
        <f t="shared" si="57"/>
        <v>0</v>
      </c>
      <c r="E209" s="10">
        <f t="shared" si="57"/>
        <v>0</v>
      </c>
      <c r="F209" s="10">
        <f t="shared" si="57"/>
        <v>0</v>
      </c>
      <c r="G209" s="10">
        <f t="shared" si="57"/>
        <v>0</v>
      </c>
      <c r="H209" s="10">
        <f t="shared" si="57"/>
        <v>0</v>
      </c>
      <c r="I209" s="10">
        <f t="shared" si="57"/>
        <v>0</v>
      </c>
      <c r="J209" s="10">
        <f t="shared" si="57"/>
        <v>0</v>
      </c>
      <c r="K209" s="3"/>
      <c r="L209" s="3"/>
      <c r="M209" s="3"/>
      <c r="N209" s="3"/>
      <c r="O209" s="3"/>
      <c r="P209" s="3"/>
      <c r="Q209" s="3"/>
      <c r="R209" s="3"/>
      <c r="S209" s="3"/>
      <c r="T209" s="3"/>
      <c r="U209" s="3"/>
      <c r="V209" s="3"/>
      <c r="W209" s="3"/>
    </row>
    <row r="210" spans="1:23" x14ac:dyDescent="0.25">
      <c r="A210" s="8" t="str">
        <f t="shared" si="55"/>
        <v>Safflower</v>
      </c>
      <c r="B210" s="8"/>
      <c r="C210" s="9">
        <v>25</v>
      </c>
      <c r="D210" s="10">
        <f t="shared" si="57"/>
        <v>0</v>
      </c>
      <c r="E210" s="10">
        <f t="shared" si="57"/>
        <v>0</v>
      </c>
      <c r="F210" s="10">
        <f t="shared" si="57"/>
        <v>0</v>
      </c>
      <c r="G210" s="10">
        <f t="shared" si="57"/>
        <v>0</v>
      </c>
      <c r="H210" s="10">
        <f t="shared" si="57"/>
        <v>0</v>
      </c>
      <c r="I210" s="10">
        <f t="shared" si="57"/>
        <v>0</v>
      </c>
      <c r="J210" s="10">
        <f t="shared" si="57"/>
        <v>0</v>
      </c>
      <c r="K210" s="3"/>
      <c r="L210" s="3"/>
      <c r="M210" s="3"/>
      <c r="N210" s="3"/>
      <c r="O210" s="3"/>
      <c r="P210" s="3"/>
      <c r="Q210" s="3"/>
      <c r="R210" s="3"/>
      <c r="S210" s="3"/>
      <c r="T210" s="3"/>
      <c r="U210" s="3"/>
      <c r="V210" s="3"/>
      <c r="W210" s="3"/>
    </row>
    <row r="211" spans="1:23" x14ac:dyDescent="0.25">
      <c r="A211" s="8">
        <f t="shared" si="55"/>
        <v>0</v>
      </c>
      <c r="B211" s="8"/>
      <c r="C211" s="9"/>
      <c r="D211" s="10">
        <f t="shared" si="57"/>
        <v>0</v>
      </c>
      <c r="E211" s="10">
        <f t="shared" si="57"/>
        <v>0</v>
      </c>
      <c r="F211" s="10">
        <f t="shared" si="57"/>
        <v>0</v>
      </c>
      <c r="G211" s="10">
        <f t="shared" si="57"/>
        <v>0</v>
      </c>
      <c r="H211" s="10">
        <f t="shared" si="57"/>
        <v>0</v>
      </c>
      <c r="I211" s="10">
        <f t="shared" si="57"/>
        <v>0</v>
      </c>
      <c r="J211" s="10">
        <f t="shared" si="57"/>
        <v>0</v>
      </c>
      <c r="K211" s="3"/>
      <c r="L211" s="3"/>
      <c r="M211" s="3"/>
      <c r="N211" s="3"/>
      <c r="O211" s="3"/>
      <c r="P211" s="3"/>
      <c r="Q211" s="3"/>
      <c r="R211" s="3"/>
      <c r="S211" s="3"/>
      <c r="T211" s="3"/>
      <c r="U211" s="3"/>
      <c r="V211" s="3"/>
      <c r="W211" s="3"/>
    </row>
    <row r="212" spans="1:23" x14ac:dyDescent="0.25">
      <c r="A212" s="8">
        <f t="shared" si="55"/>
        <v>0</v>
      </c>
      <c r="B212" s="8"/>
      <c r="C212" s="9"/>
      <c r="D212" s="10">
        <f t="shared" si="57"/>
        <v>0</v>
      </c>
      <c r="E212" s="10">
        <f t="shared" si="57"/>
        <v>0</v>
      </c>
      <c r="F212" s="10">
        <f t="shared" si="57"/>
        <v>0</v>
      </c>
      <c r="G212" s="10">
        <f t="shared" si="57"/>
        <v>0</v>
      </c>
      <c r="H212" s="10">
        <f t="shared" si="57"/>
        <v>0</v>
      </c>
      <c r="I212" s="10">
        <f t="shared" si="57"/>
        <v>0</v>
      </c>
      <c r="J212" s="10">
        <f t="shared" si="57"/>
        <v>0</v>
      </c>
      <c r="K212" s="3"/>
      <c r="L212" s="3"/>
      <c r="M212" s="3"/>
      <c r="N212" s="3"/>
      <c r="O212" s="3"/>
      <c r="P212" s="3"/>
      <c r="Q212" s="3"/>
      <c r="R212" s="3"/>
      <c r="S212" s="3"/>
      <c r="T212" s="3"/>
      <c r="U212" s="3"/>
      <c r="V212" s="3"/>
      <c r="W212" s="3"/>
    </row>
    <row r="213" spans="1:23" x14ac:dyDescent="0.25">
      <c r="A213" s="8">
        <f t="shared" si="55"/>
        <v>0</v>
      </c>
      <c r="B213" s="8"/>
      <c r="C213" s="9"/>
      <c r="D213" s="10">
        <f t="shared" si="57"/>
        <v>0</v>
      </c>
      <c r="E213" s="10">
        <f t="shared" si="57"/>
        <v>0</v>
      </c>
      <c r="F213" s="10">
        <f t="shared" si="57"/>
        <v>0</v>
      </c>
      <c r="G213" s="10">
        <f t="shared" si="57"/>
        <v>0</v>
      </c>
      <c r="H213" s="10">
        <f t="shared" si="57"/>
        <v>0</v>
      </c>
      <c r="I213" s="10">
        <f t="shared" si="57"/>
        <v>0</v>
      </c>
      <c r="J213" s="10">
        <f t="shared" si="57"/>
        <v>0</v>
      </c>
      <c r="K213" s="3"/>
      <c r="L213" s="3"/>
      <c r="M213" s="3"/>
      <c r="N213" s="3"/>
      <c r="O213" s="3"/>
      <c r="P213" s="3"/>
      <c r="Q213" s="3"/>
      <c r="R213" s="3"/>
      <c r="S213" s="3"/>
      <c r="T213" s="3"/>
      <c r="U213" s="3"/>
      <c r="V213" s="3"/>
      <c r="W213" s="3"/>
    </row>
    <row r="214" spans="1:23" x14ac:dyDescent="0.25">
      <c r="A214" s="8" t="str">
        <f t="shared" si="55"/>
        <v>Summer</v>
      </c>
      <c r="B214" s="8"/>
      <c r="C214" s="9"/>
      <c r="D214" s="10">
        <f t="shared" si="57"/>
        <v>0</v>
      </c>
      <c r="E214" s="10">
        <f t="shared" si="57"/>
        <v>0</v>
      </c>
      <c r="F214" s="10">
        <f t="shared" si="57"/>
        <v>0</v>
      </c>
      <c r="G214" s="10">
        <f t="shared" si="57"/>
        <v>0</v>
      </c>
      <c r="H214" s="10">
        <f t="shared" si="57"/>
        <v>0</v>
      </c>
      <c r="I214" s="10">
        <f t="shared" si="57"/>
        <v>0</v>
      </c>
      <c r="J214" s="10">
        <f t="shared" si="57"/>
        <v>0</v>
      </c>
      <c r="K214" s="3"/>
      <c r="L214" s="3"/>
      <c r="M214" s="3"/>
      <c r="N214" s="3"/>
      <c r="O214" s="3"/>
      <c r="P214" s="3"/>
      <c r="Q214" s="3"/>
      <c r="R214" s="3"/>
      <c r="S214" s="3"/>
      <c r="T214" s="3"/>
      <c r="U214" s="3"/>
      <c r="V214" s="3"/>
      <c r="W214" s="3"/>
    </row>
    <row r="215" spans="1:23" x14ac:dyDescent="0.25">
      <c r="A215" s="8" t="str">
        <f t="shared" si="55"/>
        <v>Groundnut</v>
      </c>
      <c r="B215" s="8"/>
      <c r="C215" s="9"/>
      <c r="D215" s="10">
        <f t="shared" si="57"/>
        <v>0</v>
      </c>
      <c r="E215" s="10">
        <f t="shared" si="57"/>
        <v>0</v>
      </c>
      <c r="F215" s="10">
        <f t="shared" si="57"/>
        <v>0</v>
      </c>
      <c r="G215" s="10">
        <f t="shared" si="57"/>
        <v>0</v>
      </c>
      <c r="H215" s="10">
        <f t="shared" si="57"/>
        <v>0</v>
      </c>
      <c r="I215" s="10">
        <f t="shared" si="57"/>
        <v>0</v>
      </c>
      <c r="J215" s="10">
        <f t="shared" si="57"/>
        <v>0</v>
      </c>
      <c r="K215" s="3"/>
      <c r="L215" s="3"/>
      <c r="M215" s="3"/>
      <c r="N215" s="3"/>
      <c r="O215" s="3"/>
      <c r="P215" s="3"/>
      <c r="Q215" s="3"/>
      <c r="R215" s="3"/>
      <c r="S215" s="3"/>
      <c r="T215" s="3"/>
      <c r="U215" s="3"/>
      <c r="V215" s="3"/>
      <c r="W215" s="3"/>
    </row>
    <row r="216" spans="1:23" x14ac:dyDescent="0.25">
      <c r="A216" s="8">
        <f t="shared" si="55"/>
        <v>0</v>
      </c>
      <c r="B216" s="8"/>
      <c r="C216" s="9"/>
      <c r="D216" s="10">
        <f t="shared" si="57"/>
        <v>0</v>
      </c>
      <c r="E216" s="10">
        <f t="shared" si="57"/>
        <v>0</v>
      </c>
      <c r="F216" s="10">
        <f t="shared" si="57"/>
        <v>0</v>
      </c>
      <c r="G216" s="10">
        <f t="shared" si="57"/>
        <v>0</v>
      </c>
      <c r="H216" s="10">
        <f t="shared" si="57"/>
        <v>0</v>
      </c>
      <c r="I216" s="10">
        <f t="shared" si="57"/>
        <v>0</v>
      </c>
      <c r="J216" s="10">
        <f t="shared" si="57"/>
        <v>0</v>
      </c>
      <c r="K216" s="3"/>
      <c r="L216" s="3"/>
      <c r="M216" s="3"/>
      <c r="N216" s="3"/>
      <c r="O216" s="3"/>
      <c r="P216" s="3"/>
      <c r="Q216" s="3"/>
      <c r="R216" s="3"/>
      <c r="S216" s="3"/>
      <c r="T216" s="3"/>
      <c r="U216" s="3"/>
      <c r="V216" s="3"/>
      <c r="W216" s="3"/>
    </row>
    <row r="217" spans="1:23" x14ac:dyDescent="0.25">
      <c r="A217" s="8">
        <f t="shared" si="55"/>
        <v>0</v>
      </c>
      <c r="B217" s="8"/>
      <c r="C217" s="9"/>
      <c r="D217" s="10">
        <f t="shared" ref="D217:J219" si="58">C82*$C217*D$124</f>
        <v>0</v>
      </c>
      <c r="E217" s="10">
        <f t="shared" si="58"/>
        <v>0</v>
      </c>
      <c r="F217" s="10">
        <f t="shared" si="58"/>
        <v>0</v>
      </c>
      <c r="G217" s="10">
        <f t="shared" si="58"/>
        <v>0</v>
      </c>
      <c r="H217" s="10">
        <f t="shared" si="58"/>
        <v>0</v>
      </c>
      <c r="I217" s="10">
        <f t="shared" si="58"/>
        <v>0</v>
      </c>
      <c r="J217" s="10">
        <f t="shared" si="58"/>
        <v>0</v>
      </c>
      <c r="K217" s="3"/>
      <c r="L217" s="3"/>
      <c r="M217" s="3"/>
      <c r="N217" s="3"/>
      <c r="O217" s="3"/>
      <c r="P217" s="3"/>
      <c r="Q217" s="3"/>
      <c r="R217" s="3"/>
      <c r="S217" s="3"/>
      <c r="T217" s="3"/>
      <c r="U217" s="3"/>
      <c r="V217" s="3"/>
      <c r="W217" s="3"/>
    </row>
    <row r="218" spans="1:23" x14ac:dyDescent="0.25">
      <c r="A218" s="8">
        <f t="shared" si="55"/>
        <v>0</v>
      </c>
      <c r="B218" s="8"/>
      <c r="C218" s="9"/>
      <c r="D218" s="10">
        <f t="shared" si="58"/>
        <v>0</v>
      </c>
      <c r="E218" s="10">
        <f t="shared" si="58"/>
        <v>0</v>
      </c>
      <c r="F218" s="10">
        <f t="shared" si="58"/>
        <v>0</v>
      </c>
      <c r="G218" s="10">
        <f t="shared" si="58"/>
        <v>0</v>
      </c>
      <c r="H218" s="10">
        <f t="shared" si="58"/>
        <v>0</v>
      </c>
      <c r="I218" s="10">
        <f t="shared" si="58"/>
        <v>0</v>
      </c>
      <c r="J218" s="10">
        <f t="shared" si="58"/>
        <v>0</v>
      </c>
      <c r="K218" s="3"/>
      <c r="L218" s="3"/>
      <c r="M218" s="3"/>
      <c r="N218" s="3"/>
      <c r="O218" s="3"/>
      <c r="P218" s="3"/>
      <c r="Q218" s="3"/>
      <c r="R218" s="3"/>
      <c r="S218" s="3"/>
      <c r="T218" s="3"/>
      <c r="U218" s="3"/>
      <c r="V218" s="3"/>
      <c r="W218" s="3"/>
    </row>
    <row r="219" spans="1:23" x14ac:dyDescent="0.25">
      <c r="A219" s="8">
        <f t="shared" si="55"/>
        <v>0</v>
      </c>
      <c r="B219" s="8"/>
      <c r="C219" s="9"/>
      <c r="D219" s="10">
        <f t="shared" si="58"/>
        <v>0</v>
      </c>
      <c r="E219" s="10">
        <f t="shared" si="58"/>
        <v>0</v>
      </c>
      <c r="F219" s="10">
        <f t="shared" si="58"/>
        <v>0</v>
      </c>
      <c r="G219" s="10">
        <f t="shared" si="58"/>
        <v>0</v>
      </c>
      <c r="H219" s="10">
        <f t="shared" si="58"/>
        <v>0</v>
      </c>
      <c r="I219" s="10">
        <f t="shared" si="58"/>
        <v>0</v>
      </c>
      <c r="J219" s="10">
        <f t="shared" si="58"/>
        <v>0</v>
      </c>
      <c r="K219" s="3"/>
      <c r="L219" s="3"/>
      <c r="M219" s="3"/>
      <c r="N219" s="3"/>
      <c r="O219" s="3"/>
      <c r="P219" s="3"/>
      <c r="Q219" s="3"/>
      <c r="R219" s="3"/>
      <c r="S219" s="3"/>
      <c r="T219" s="3"/>
      <c r="U219" s="3"/>
      <c r="V219" s="3"/>
      <c r="W219" s="3"/>
    </row>
    <row r="220" spans="1:23" x14ac:dyDescent="0.25">
      <c r="A220" s="8" t="str">
        <f t="shared" si="55"/>
        <v>Fruit  &amp; Vegetables Crop Production Details</v>
      </c>
      <c r="B220" s="8"/>
      <c r="C220" s="10"/>
      <c r="D220" s="10"/>
      <c r="E220" s="10"/>
      <c r="F220" s="10"/>
      <c r="G220" s="10"/>
      <c r="H220" s="10"/>
      <c r="I220" s="10"/>
      <c r="J220" s="10"/>
      <c r="K220" s="3"/>
      <c r="L220" s="3"/>
      <c r="M220" s="3"/>
      <c r="N220" s="3"/>
      <c r="O220" s="3"/>
      <c r="P220" s="3"/>
      <c r="Q220" s="3"/>
      <c r="R220" s="3"/>
      <c r="S220" s="3"/>
      <c r="T220" s="3"/>
      <c r="U220" s="3"/>
      <c r="V220" s="3"/>
      <c r="W220" s="3"/>
    </row>
    <row r="221" spans="1:23" x14ac:dyDescent="0.25">
      <c r="A221" s="8" t="str">
        <f t="shared" si="55"/>
        <v>Onion</v>
      </c>
      <c r="B221" s="8"/>
      <c r="C221" s="9"/>
      <c r="D221" s="10">
        <f t="shared" ref="D221:J230" si="59">C86*$C221*D$124</f>
        <v>0</v>
      </c>
      <c r="E221" s="10">
        <f t="shared" si="59"/>
        <v>0</v>
      </c>
      <c r="F221" s="10">
        <f t="shared" si="59"/>
        <v>0</v>
      </c>
      <c r="G221" s="10">
        <f t="shared" si="59"/>
        <v>0</v>
      </c>
      <c r="H221" s="10">
        <f t="shared" si="59"/>
        <v>0</v>
      </c>
      <c r="I221" s="10">
        <f t="shared" si="59"/>
        <v>0</v>
      </c>
      <c r="J221" s="10">
        <f t="shared" si="59"/>
        <v>0</v>
      </c>
      <c r="K221" s="3"/>
      <c r="L221" s="3"/>
      <c r="M221" s="3"/>
      <c r="N221" s="3"/>
      <c r="O221" s="3"/>
      <c r="P221" s="3"/>
      <c r="Q221" s="3"/>
      <c r="R221" s="3"/>
      <c r="S221" s="3"/>
      <c r="T221" s="3"/>
      <c r="U221" s="3"/>
      <c r="V221" s="3"/>
      <c r="W221" s="3"/>
    </row>
    <row r="222" spans="1:23" x14ac:dyDescent="0.25">
      <c r="A222" s="8" t="str">
        <f t="shared" si="55"/>
        <v>Tomato</v>
      </c>
      <c r="B222" s="8"/>
      <c r="C222" s="9"/>
      <c r="D222" s="10">
        <f t="shared" si="59"/>
        <v>0</v>
      </c>
      <c r="E222" s="10">
        <f t="shared" si="59"/>
        <v>0</v>
      </c>
      <c r="F222" s="10">
        <f t="shared" si="59"/>
        <v>0</v>
      </c>
      <c r="G222" s="10">
        <f t="shared" si="59"/>
        <v>0</v>
      </c>
      <c r="H222" s="10">
        <f t="shared" si="59"/>
        <v>0</v>
      </c>
      <c r="I222" s="10">
        <f t="shared" si="59"/>
        <v>0</v>
      </c>
      <c r="J222" s="10">
        <f t="shared" si="59"/>
        <v>0</v>
      </c>
      <c r="K222" s="3"/>
      <c r="L222" s="3"/>
      <c r="M222" s="3"/>
      <c r="N222" s="3"/>
      <c r="O222" s="3"/>
      <c r="P222" s="3"/>
      <c r="Q222" s="3"/>
      <c r="R222" s="3"/>
      <c r="S222" s="3"/>
      <c r="T222" s="3"/>
      <c r="U222" s="3"/>
      <c r="V222" s="3"/>
      <c r="W222" s="3"/>
    </row>
    <row r="223" spans="1:23" x14ac:dyDescent="0.25">
      <c r="A223" s="8" t="str">
        <f t="shared" si="55"/>
        <v>Okra</v>
      </c>
      <c r="B223" s="8"/>
      <c r="C223" s="9"/>
      <c r="D223" s="10">
        <f t="shared" si="59"/>
        <v>0</v>
      </c>
      <c r="E223" s="10">
        <f t="shared" si="59"/>
        <v>0</v>
      </c>
      <c r="F223" s="10">
        <f t="shared" si="59"/>
        <v>0</v>
      </c>
      <c r="G223" s="10">
        <f t="shared" si="59"/>
        <v>0</v>
      </c>
      <c r="H223" s="10">
        <f t="shared" si="59"/>
        <v>0</v>
      </c>
      <c r="I223" s="10">
        <f t="shared" si="59"/>
        <v>0</v>
      </c>
      <c r="J223" s="10">
        <f t="shared" si="59"/>
        <v>0</v>
      </c>
      <c r="K223" s="3"/>
      <c r="L223" s="3"/>
      <c r="M223" s="3"/>
      <c r="N223" s="3"/>
      <c r="O223" s="3"/>
      <c r="P223" s="3"/>
      <c r="Q223" s="3"/>
      <c r="R223" s="3"/>
      <c r="S223" s="3"/>
      <c r="T223" s="3"/>
      <c r="U223" s="3"/>
      <c r="V223" s="3"/>
      <c r="W223" s="3"/>
    </row>
    <row r="224" spans="1:23" x14ac:dyDescent="0.25">
      <c r="A224" s="8" t="str">
        <f t="shared" si="55"/>
        <v>Chilli</v>
      </c>
      <c r="B224" s="8"/>
      <c r="C224" s="9"/>
      <c r="D224" s="10">
        <f t="shared" si="59"/>
        <v>0</v>
      </c>
      <c r="E224" s="10">
        <f t="shared" si="59"/>
        <v>0</v>
      </c>
      <c r="F224" s="10">
        <f t="shared" si="59"/>
        <v>0</v>
      </c>
      <c r="G224" s="10">
        <f t="shared" si="59"/>
        <v>0</v>
      </c>
      <c r="H224" s="10">
        <f t="shared" si="59"/>
        <v>0</v>
      </c>
      <c r="I224" s="10">
        <f t="shared" si="59"/>
        <v>0</v>
      </c>
      <c r="J224" s="10">
        <f t="shared" si="59"/>
        <v>0</v>
      </c>
      <c r="K224" s="3"/>
      <c r="L224" s="3"/>
      <c r="M224" s="3"/>
      <c r="N224" s="3"/>
      <c r="O224" s="3"/>
      <c r="P224" s="3"/>
      <c r="Q224" s="3"/>
      <c r="R224" s="3"/>
      <c r="S224" s="3"/>
      <c r="T224" s="3"/>
      <c r="U224" s="3"/>
      <c r="V224" s="3"/>
      <c r="W224" s="3"/>
    </row>
    <row r="225" spans="1:23" x14ac:dyDescent="0.25">
      <c r="A225" s="8" t="str">
        <f t="shared" si="55"/>
        <v>Potato</v>
      </c>
      <c r="B225" s="8"/>
      <c r="C225" s="9"/>
      <c r="D225" s="10">
        <f t="shared" si="59"/>
        <v>0</v>
      </c>
      <c r="E225" s="10">
        <f t="shared" si="59"/>
        <v>0</v>
      </c>
      <c r="F225" s="10">
        <f t="shared" si="59"/>
        <v>0</v>
      </c>
      <c r="G225" s="10">
        <f t="shared" si="59"/>
        <v>0</v>
      </c>
      <c r="H225" s="10">
        <f t="shared" si="59"/>
        <v>0</v>
      </c>
      <c r="I225" s="10">
        <f t="shared" si="59"/>
        <v>0</v>
      </c>
      <c r="J225" s="10">
        <f t="shared" si="59"/>
        <v>0</v>
      </c>
      <c r="K225" s="3"/>
      <c r="L225" s="3"/>
      <c r="M225" s="3"/>
      <c r="N225" s="3"/>
      <c r="O225" s="3"/>
      <c r="P225" s="3"/>
      <c r="Q225" s="3"/>
      <c r="R225" s="3"/>
      <c r="S225" s="3"/>
      <c r="T225" s="3"/>
      <c r="U225" s="3"/>
      <c r="V225" s="3"/>
      <c r="W225" s="3"/>
    </row>
    <row r="226" spans="1:23" x14ac:dyDescent="0.25">
      <c r="A226" s="8">
        <f t="shared" si="55"/>
        <v>0</v>
      </c>
      <c r="B226" s="8"/>
      <c r="C226" s="9"/>
      <c r="D226" s="10">
        <f t="shared" si="59"/>
        <v>0</v>
      </c>
      <c r="E226" s="10">
        <f t="shared" si="59"/>
        <v>0</v>
      </c>
      <c r="F226" s="10">
        <f t="shared" si="59"/>
        <v>0</v>
      </c>
      <c r="G226" s="10">
        <f t="shared" si="59"/>
        <v>0</v>
      </c>
      <c r="H226" s="10">
        <f t="shared" si="59"/>
        <v>0</v>
      </c>
      <c r="I226" s="10">
        <f t="shared" si="59"/>
        <v>0</v>
      </c>
      <c r="J226" s="10">
        <f t="shared" si="59"/>
        <v>0</v>
      </c>
      <c r="K226" s="3"/>
      <c r="L226" s="3"/>
      <c r="M226" s="3"/>
      <c r="N226" s="3"/>
      <c r="O226" s="3"/>
      <c r="P226" s="3"/>
      <c r="Q226" s="3"/>
      <c r="R226" s="3"/>
      <c r="S226" s="3"/>
      <c r="T226" s="3"/>
      <c r="U226" s="3"/>
      <c r="V226" s="3"/>
      <c r="W226" s="3"/>
    </row>
    <row r="227" spans="1:23" x14ac:dyDescent="0.25">
      <c r="A227" s="8">
        <f t="shared" si="55"/>
        <v>0</v>
      </c>
      <c r="B227" s="8"/>
      <c r="C227" s="9"/>
      <c r="D227" s="10">
        <f t="shared" si="59"/>
        <v>0</v>
      </c>
      <c r="E227" s="10">
        <f t="shared" si="59"/>
        <v>0</v>
      </c>
      <c r="F227" s="10">
        <f t="shared" si="59"/>
        <v>0</v>
      </c>
      <c r="G227" s="10">
        <f t="shared" si="59"/>
        <v>0</v>
      </c>
      <c r="H227" s="10">
        <f t="shared" si="59"/>
        <v>0</v>
      </c>
      <c r="I227" s="10">
        <f t="shared" si="59"/>
        <v>0</v>
      </c>
      <c r="J227" s="10">
        <f t="shared" si="59"/>
        <v>0</v>
      </c>
      <c r="K227" s="3"/>
      <c r="L227" s="3"/>
      <c r="M227" s="3"/>
      <c r="N227" s="3"/>
      <c r="O227" s="3"/>
      <c r="P227" s="3"/>
      <c r="Q227" s="3"/>
      <c r="R227" s="3"/>
      <c r="S227" s="3"/>
      <c r="T227" s="3"/>
      <c r="U227" s="3"/>
      <c r="V227" s="3"/>
      <c r="W227" s="3"/>
    </row>
    <row r="228" spans="1:23" x14ac:dyDescent="0.25">
      <c r="A228" s="8">
        <f t="shared" si="55"/>
        <v>0</v>
      </c>
      <c r="B228" s="8"/>
      <c r="C228" s="9"/>
      <c r="D228" s="10">
        <f t="shared" si="59"/>
        <v>0</v>
      </c>
      <c r="E228" s="10">
        <f t="shared" si="59"/>
        <v>0</v>
      </c>
      <c r="F228" s="10">
        <f t="shared" si="59"/>
        <v>0</v>
      </c>
      <c r="G228" s="10">
        <f t="shared" si="59"/>
        <v>0</v>
      </c>
      <c r="H228" s="10">
        <f t="shared" si="59"/>
        <v>0</v>
      </c>
      <c r="I228" s="10">
        <f t="shared" si="59"/>
        <v>0</v>
      </c>
      <c r="J228" s="10">
        <f t="shared" si="59"/>
        <v>0</v>
      </c>
      <c r="K228" s="3"/>
      <c r="L228" s="3"/>
      <c r="M228" s="3"/>
      <c r="N228" s="3"/>
      <c r="O228" s="3"/>
      <c r="P228" s="3"/>
      <c r="Q228" s="3"/>
      <c r="R228" s="3"/>
      <c r="S228" s="3"/>
      <c r="T228" s="3"/>
      <c r="U228" s="3"/>
      <c r="V228" s="3"/>
      <c r="W228" s="3"/>
    </row>
    <row r="229" spans="1:23" x14ac:dyDescent="0.25">
      <c r="A229" s="8">
        <f t="shared" si="55"/>
        <v>0</v>
      </c>
      <c r="B229" s="8"/>
      <c r="C229" s="9"/>
      <c r="D229" s="10">
        <f t="shared" si="59"/>
        <v>0</v>
      </c>
      <c r="E229" s="10">
        <f t="shared" si="59"/>
        <v>0</v>
      </c>
      <c r="F229" s="10">
        <f t="shared" si="59"/>
        <v>0</v>
      </c>
      <c r="G229" s="10">
        <f t="shared" si="59"/>
        <v>0</v>
      </c>
      <c r="H229" s="10">
        <f t="shared" si="59"/>
        <v>0</v>
      </c>
      <c r="I229" s="10">
        <f t="shared" si="59"/>
        <v>0</v>
      </c>
      <c r="J229" s="10">
        <f t="shared" si="59"/>
        <v>0</v>
      </c>
      <c r="K229" s="3"/>
      <c r="L229" s="3"/>
      <c r="M229" s="3"/>
      <c r="N229" s="3"/>
      <c r="O229" s="3"/>
      <c r="P229" s="3"/>
      <c r="Q229" s="3"/>
      <c r="R229" s="3"/>
      <c r="S229" s="3"/>
      <c r="T229" s="3"/>
      <c r="U229" s="3"/>
      <c r="V229" s="3"/>
      <c r="W229" s="3"/>
    </row>
    <row r="230" spans="1:23" x14ac:dyDescent="0.25">
      <c r="A230" s="8" t="str">
        <f t="shared" si="55"/>
        <v>Onion</v>
      </c>
      <c r="B230" s="8"/>
      <c r="C230" s="9"/>
      <c r="D230" s="10">
        <f t="shared" si="59"/>
        <v>0</v>
      </c>
      <c r="E230" s="10">
        <f t="shared" si="59"/>
        <v>0</v>
      </c>
      <c r="F230" s="10">
        <f t="shared" si="59"/>
        <v>0</v>
      </c>
      <c r="G230" s="10">
        <f t="shared" si="59"/>
        <v>0</v>
      </c>
      <c r="H230" s="10">
        <f t="shared" si="59"/>
        <v>0</v>
      </c>
      <c r="I230" s="10">
        <f t="shared" si="59"/>
        <v>0</v>
      </c>
      <c r="J230" s="10">
        <f t="shared" si="59"/>
        <v>0</v>
      </c>
      <c r="K230" s="3"/>
      <c r="L230" s="3"/>
      <c r="M230" s="3"/>
      <c r="N230" s="3"/>
      <c r="O230" s="3"/>
      <c r="P230" s="3"/>
      <c r="Q230" s="3"/>
      <c r="R230" s="3"/>
      <c r="S230" s="3"/>
      <c r="T230" s="3"/>
      <c r="U230" s="3"/>
      <c r="V230" s="3"/>
      <c r="W230" s="3"/>
    </row>
    <row r="231" spans="1:23" x14ac:dyDescent="0.25">
      <c r="A231" s="8" t="str">
        <f t="shared" si="55"/>
        <v>Tomato</v>
      </c>
      <c r="B231" s="8"/>
      <c r="C231" s="9"/>
      <c r="D231" s="10">
        <f t="shared" ref="D231:J238" si="60">C96*$C231*D$124</f>
        <v>0</v>
      </c>
      <c r="E231" s="10">
        <f t="shared" si="60"/>
        <v>0</v>
      </c>
      <c r="F231" s="10">
        <f t="shared" si="60"/>
        <v>0</v>
      </c>
      <c r="G231" s="10">
        <f t="shared" si="60"/>
        <v>0</v>
      </c>
      <c r="H231" s="10">
        <f t="shared" si="60"/>
        <v>0</v>
      </c>
      <c r="I231" s="10">
        <f t="shared" si="60"/>
        <v>0</v>
      </c>
      <c r="J231" s="10">
        <f t="shared" si="60"/>
        <v>0</v>
      </c>
      <c r="K231" s="3"/>
      <c r="L231" s="3"/>
      <c r="M231" s="3"/>
      <c r="N231" s="3"/>
      <c r="O231" s="3"/>
      <c r="P231" s="3"/>
      <c r="Q231" s="3"/>
      <c r="R231" s="3"/>
      <c r="S231" s="3"/>
      <c r="T231" s="3"/>
      <c r="U231" s="3"/>
      <c r="V231" s="3"/>
      <c r="W231" s="3"/>
    </row>
    <row r="232" spans="1:23" x14ac:dyDescent="0.25">
      <c r="A232" s="8" t="str">
        <f t="shared" si="55"/>
        <v>Okra</v>
      </c>
      <c r="B232" s="8"/>
      <c r="C232" s="9"/>
      <c r="D232" s="10">
        <f t="shared" si="60"/>
        <v>0</v>
      </c>
      <c r="E232" s="10">
        <f t="shared" si="60"/>
        <v>0</v>
      </c>
      <c r="F232" s="10">
        <f t="shared" si="60"/>
        <v>0</v>
      </c>
      <c r="G232" s="10">
        <f t="shared" si="60"/>
        <v>0</v>
      </c>
      <c r="H232" s="10">
        <f t="shared" si="60"/>
        <v>0</v>
      </c>
      <c r="I232" s="10">
        <f t="shared" si="60"/>
        <v>0</v>
      </c>
      <c r="J232" s="10">
        <f t="shared" si="60"/>
        <v>0</v>
      </c>
      <c r="K232" s="3"/>
      <c r="L232" s="3"/>
      <c r="M232" s="3"/>
      <c r="N232" s="3"/>
      <c r="O232" s="3"/>
      <c r="P232" s="3"/>
      <c r="Q232" s="3"/>
      <c r="R232" s="3"/>
      <c r="S232" s="3"/>
      <c r="T232" s="3"/>
      <c r="U232" s="3"/>
      <c r="V232" s="3"/>
      <c r="W232" s="3"/>
    </row>
    <row r="233" spans="1:23" x14ac:dyDescent="0.25">
      <c r="A233" s="8" t="str">
        <f t="shared" si="55"/>
        <v>Chilli</v>
      </c>
      <c r="B233" s="8"/>
      <c r="C233" s="9"/>
      <c r="D233" s="10">
        <f t="shared" si="60"/>
        <v>0</v>
      </c>
      <c r="E233" s="10">
        <f t="shared" si="60"/>
        <v>0</v>
      </c>
      <c r="F233" s="10">
        <f t="shared" si="60"/>
        <v>0</v>
      </c>
      <c r="G233" s="10">
        <f t="shared" si="60"/>
        <v>0</v>
      </c>
      <c r="H233" s="10">
        <f t="shared" si="60"/>
        <v>0</v>
      </c>
      <c r="I233" s="10">
        <f t="shared" si="60"/>
        <v>0</v>
      </c>
      <c r="J233" s="10">
        <f t="shared" si="60"/>
        <v>0</v>
      </c>
      <c r="K233" s="3"/>
      <c r="L233" s="3"/>
      <c r="M233" s="3"/>
      <c r="N233" s="3"/>
      <c r="O233" s="3"/>
      <c r="P233" s="3"/>
      <c r="Q233" s="3"/>
      <c r="R233" s="3"/>
      <c r="S233" s="3"/>
      <c r="T233" s="3"/>
      <c r="U233" s="3"/>
      <c r="V233" s="3"/>
      <c r="W233" s="3"/>
    </row>
    <row r="234" spans="1:23" x14ac:dyDescent="0.25">
      <c r="A234" s="8" t="str">
        <f t="shared" si="55"/>
        <v>Brinjal</v>
      </c>
      <c r="B234" s="8"/>
      <c r="C234" s="9"/>
      <c r="D234" s="10">
        <f t="shared" si="60"/>
        <v>0</v>
      </c>
      <c r="E234" s="10">
        <f t="shared" si="60"/>
        <v>0</v>
      </c>
      <c r="F234" s="10">
        <f t="shared" si="60"/>
        <v>0</v>
      </c>
      <c r="G234" s="10">
        <f t="shared" si="60"/>
        <v>0</v>
      </c>
      <c r="H234" s="10">
        <f t="shared" si="60"/>
        <v>0</v>
      </c>
      <c r="I234" s="10">
        <f t="shared" si="60"/>
        <v>0</v>
      </c>
      <c r="J234" s="10">
        <f t="shared" si="60"/>
        <v>0</v>
      </c>
      <c r="K234" s="3"/>
      <c r="L234" s="3"/>
      <c r="M234" s="3"/>
      <c r="N234" s="3"/>
      <c r="O234" s="3"/>
      <c r="P234" s="3"/>
      <c r="Q234" s="3"/>
      <c r="R234" s="3"/>
      <c r="S234" s="3"/>
      <c r="T234" s="3"/>
      <c r="U234" s="3"/>
      <c r="V234" s="3"/>
      <c r="W234" s="3"/>
    </row>
    <row r="235" spans="1:23" x14ac:dyDescent="0.25">
      <c r="A235" s="8">
        <f t="shared" si="55"/>
        <v>0</v>
      </c>
      <c r="B235" s="8"/>
      <c r="C235" s="9"/>
      <c r="D235" s="10">
        <f t="shared" si="60"/>
        <v>0</v>
      </c>
      <c r="E235" s="10">
        <f t="shared" si="60"/>
        <v>0</v>
      </c>
      <c r="F235" s="10">
        <f t="shared" si="60"/>
        <v>0</v>
      </c>
      <c r="G235" s="10">
        <f t="shared" si="60"/>
        <v>0</v>
      </c>
      <c r="H235" s="10">
        <f t="shared" si="60"/>
        <v>0</v>
      </c>
      <c r="I235" s="10">
        <f t="shared" si="60"/>
        <v>0</v>
      </c>
      <c r="J235" s="10">
        <f t="shared" si="60"/>
        <v>0</v>
      </c>
      <c r="K235" s="3"/>
      <c r="L235" s="3"/>
      <c r="M235" s="3"/>
      <c r="N235" s="3"/>
      <c r="O235" s="3"/>
      <c r="P235" s="3"/>
      <c r="Q235" s="3"/>
      <c r="R235" s="3"/>
      <c r="S235" s="3"/>
      <c r="T235" s="3"/>
      <c r="U235" s="3"/>
      <c r="V235" s="3"/>
      <c r="W235" s="3"/>
    </row>
    <row r="236" spans="1:23" x14ac:dyDescent="0.25">
      <c r="A236" s="8">
        <f t="shared" si="55"/>
        <v>0</v>
      </c>
      <c r="B236" s="8"/>
      <c r="C236" s="9"/>
      <c r="D236" s="10">
        <f t="shared" si="60"/>
        <v>0</v>
      </c>
      <c r="E236" s="10">
        <f t="shared" si="60"/>
        <v>0</v>
      </c>
      <c r="F236" s="10">
        <f t="shared" si="60"/>
        <v>0</v>
      </c>
      <c r="G236" s="10">
        <f t="shared" si="60"/>
        <v>0</v>
      </c>
      <c r="H236" s="10">
        <f t="shared" si="60"/>
        <v>0</v>
      </c>
      <c r="I236" s="10">
        <f t="shared" si="60"/>
        <v>0</v>
      </c>
      <c r="J236" s="10">
        <f t="shared" si="60"/>
        <v>0</v>
      </c>
      <c r="K236" s="3"/>
      <c r="L236" s="3"/>
      <c r="M236" s="3"/>
      <c r="N236" s="3"/>
      <c r="O236" s="3"/>
      <c r="P236" s="3"/>
      <c r="Q236" s="3"/>
      <c r="R236" s="3"/>
      <c r="S236" s="3"/>
      <c r="T236" s="3"/>
      <c r="U236" s="3"/>
      <c r="V236" s="3"/>
      <c r="W236" s="3"/>
    </row>
    <row r="237" spans="1:23" x14ac:dyDescent="0.25">
      <c r="A237" s="8">
        <f t="shared" si="55"/>
        <v>0</v>
      </c>
      <c r="B237" s="8"/>
      <c r="C237" s="9"/>
      <c r="D237" s="10">
        <f t="shared" si="60"/>
        <v>0</v>
      </c>
      <c r="E237" s="10">
        <f t="shared" si="60"/>
        <v>0</v>
      </c>
      <c r="F237" s="10">
        <f t="shared" si="60"/>
        <v>0</v>
      </c>
      <c r="G237" s="10">
        <f t="shared" si="60"/>
        <v>0</v>
      </c>
      <c r="H237" s="10">
        <f t="shared" si="60"/>
        <v>0</v>
      </c>
      <c r="I237" s="10">
        <f t="shared" si="60"/>
        <v>0</v>
      </c>
      <c r="J237" s="10">
        <f t="shared" si="60"/>
        <v>0</v>
      </c>
      <c r="K237" s="3"/>
      <c r="L237" s="3"/>
      <c r="M237" s="3"/>
      <c r="N237" s="3"/>
      <c r="O237" s="3"/>
      <c r="P237" s="3"/>
      <c r="Q237" s="3"/>
      <c r="R237" s="3"/>
      <c r="S237" s="3"/>
      <c r="T237" s="3"/>
      <c r="U237" s="3"/>
      <c r="V237" s="3"/>
      <c r="W237" s="3"/>
    </row>
    <row r="238" spans="1:23" x14ac:dyDescent="0.25">
      <c r="A238" s="8">
        <f t="shared" si="55"/>
        <v>0</v>
      </c>
      <c r="B238" s="8"/>
      <c r="C238" s="9"/>
      <c r="D238" s="10">
        <f t="shared" si="60"/>
        <v>0</v>
      </c>
      <c r="E238" s="10">
        <f t="shared" si="60"/>
        <v>0</v>
      </c>
      <c r="F238" s="10">
        <f t="shared" si="60"/>
        <v>0</v>
      </c>
      <c r="G238" s="10">
        <f t="shared" si="60"/>
        <v>0</v>
      </c>
      <c r="H238" s="10">
        <f t="shared" si="60"/>
        <v>0</v>
      </c>
      <c r="I238" s="10">
        <f t="shared" si="60"/>
        <v>0</v>
      </c>
      <c r="J238" s="10">
        <f t="shared" si="60"/>
        <v>0</v>
      </c>
      <c r="K238" s="3"/>
      <c r="L238" s="3"/>
      <c r="M238" s="3"/>
      <c r="N238" s="3"/>
      <c r="O238" s="3"/>
      <c r="P238" s="3"/>
      <c r="Q238" s="3"/>
      <c r="R238" s="3"/>
      <c r="S238" s="3"/>
      <c r="T238" s="3"/>
      <c r="U238" s="3"/>
      <c r="V238" s="3"/>
      <c r="W238" s="3"/>
    </row>
    <row r="239" spans="1:23" x14ac:dyDescent="0.25">
      <c r="A239" s="8" t="str">
        <f>A175</f>
        <v>Pomegranate</v>
      </c>
      <c r="B239" s="8"/>
      <c r="C239" s="9"/>
      <c r="D239" s="10">
        <f t="shared" ref="D239:J243" si="61">C107*$C239*D$124</f>
        <v>0</v>
      </c>
      <c r="E239" s="10">
        <f t="shared" si="61"/>
        <v>0</v>
      </c>
      <c r="F239" s="10">
        <f t="shared" si="61"/>
        <v>0</v>
      </c>
      <c r="G239" s="10">
        <f t="shared" si="61"/>
        <v>0</v>
      </c>
      <c r="H239" s="10">
        <f t="shared" si="61"/>
        <v>0</v>
      </c>
      <c r="I239" s="10">
        <f t="shared" si="61"/>
        <v>0</v>
      </c>
      <c r="J239" s="10">
        <f t="shared" si="61"/>
        <v>0</v>
      </c>
      <c r="K239" s="3"/>
      <c r="L239" s="3"/>
      <c r="M239" s="3"/>
      <c r="N239" s="3"/>
      <c r="O239" s="3"/>
      <c r="P239" s="3"/>
      <c r="Q239" s="3"/>
      <c r="R239" s="3"/>
      <c r="S239" s="3"/>
      <c r="T239" s="3"/>
      <c r="U239" s="3"/>
      <c r="V239" s="3"/>
      <c r="W239" s="3"/>
    </row>
    <row r="240" spans="1:23" x14ac:dyDescent="0.25">
      <c r="A240" s="8" t="str">
        <f>A176</f>
        <v>Custard Apple</v>
      </c>
      <c r="B240" s="8"/>
      <c r="C240" s="9"/>
      <c r="D240" s="10">
        <f t="shared" si="61"/>
        <v>0</v>
      </c>
      <c r="E240" s="10">
        <f t="shared" si="61"/>
        <v>0</v>
      </c>
      <c r="F240" s="10">
        <f t="shared" si="61"/>
        <v>0</v>
      </c>
      <c r="G240" s="10">
        <f t="shared" si="61"/>
        <v>0</v>
      </c>
      <c r="H240" s="10">
        <f t="shared" si="61"/>
        <v>0</v>
      </c>
      <c r="I240" s="10">
        <f t="shared" si="61"/>
        <v>0</v>
      </c>
      <c r="J240" s="10">
        <f t="shared" si="61"/>
        <v>0</v>
      </c>
      <c r="K240" s="3"/>
      <c r="L240" s="3"/>
      <c r="M240" s="3"/>
      <c r="N240" s="3"/>
      <c r="O240" s="3"/>
      <c r="P240" s="3"/>
      <c r="Q240" s="3"/>
      <c r="R240" s="3"/>
      <c r="S240" s="3"/>
      <c r="T240" s="3"/>
      <c r="U240" s="3"/>
      <c r="V240" s="3"/>
      <c r="W240" s="3"/>
    </row>
    <row r="241" spans="1:23" x14ac:dyDescent="0.25">
      <c r="A241" s="8" t="str">
        <f>A177</f>
        <v>Guava</v>
      </c>
      <c r="B241" s="8"/>
      <c r="C241" s="9"/>
      <c r="D241" s="10">
        <f t="shared" si="61"/>
        <v>0</v>
      </c>
      <c r="E241" s="10">
        <f t="shared" si="61"/>
        <v>0</v>
      </c>
      <c r="F241" s="10">
        <f t="shared" si="61"/>
        <v>0</v>
      </c>
      <c r="G241" s="10">
        <f t="shared" si="61"/>
        <v>0</v>
      </c>
      <c r="H241" s="10">
        <f t="shared" si="61"/>
        <v>0</v>
      </c>
      <c r="I241" s="10">
        <f t="shared" si="61"/>
        <v>0</v>
      </c>
      <c r="J241" s="10">
        <f t="shared" si="61"/>
        <v>0</v>
      </c>
      <c r="K241" s="3"/>
      <c r="L241" s="3"/>
      <c r="M241" s="3"/>
      <c r="N241" s="3"/>
      <c r="O241" s="3"/>
      <c r="P241" s="3"/>
      <c r="Q241" s="3"/>
      <c r="R241" s="3"/>
      <c r="S241" s="3"/>
      <c r="T241" s="3"/>
      <c r="U241" s="3"/>
      <c r="V241" s="3"/>
      <c r="W241" s="3"/>
    </row>
    <row r="242" spans="1:23" x14ac:dyDescent="0.25">
      <c r="A242" s="8" t="str">
        <f>A178</f>
        <v>Citrus</v>
      </c>
      <c r="B242" s="8"/>
      <c r="C242" s="9"/>
      <c r="D242" s="10">
        <f t="shared" si="61"/>
        <v>0</v>
      </c>
      <c r="E242" s="10">
        <f t="shared" si="61"/>
        <v>0</v>
      </c>
      <c r="F242" s="10">
        <f t="shared" si="61"/>
        <v>0</v>
      </c>
      <c r="G242" s="10">
        <f t="shared" si="61"/>
        <v>0</v>
      </c>
      <c r="H242" s="10">
        <f t="shared" si="61"/>
        <v>0</v>
      </c>
      <c r="I242" s="10">
        <f t="shared" si="61"/>
        <v>0</v>
      </c>
      <c r="J242" s="10">
        <f t="shared" si="61"/>
        <v>0</v>
      </c>
      <c r="K242" s="3"/>
      <c r="L242" s="3"/>
      <c r="M242" s="3"/>
      <c r="N242" s="3"/>
      <c r="O242" s="3"/>
      <c r="P242" s="3"/>
      <c r="Q242" s="3"/>
      <c r="R242" s="3"/>
      <c r="S242" s="3"/>
      <c r="T242" s="3"/>
      <c r="U242" s="3"/>
      <c r="V242" s="3"/>
      <c r="W242" s="3"/>
    </row>
    <row r="243" spans="1:23" x14ac:dyDescent="0.25">
      <c r="A243" s="8">
        <f>A179</f>
        <v>0</v>
      </c>
      <c r="B243" s="8"/>
      <c r="C243" s="9"/>
      <c r="D243" s="10">
        <f t="shared" si="61"/>
        <v>0</v>
      </c>
      <c r="E243" s="10">
        <f t="shared" si="61"/>
        <v>0</v>
      </c>
      <c r="F243" s="10">
        <f t="shared" si="61"/>
        <v>0</v>
      </c>
      <c r="G243" s="10">
        <f t="shared" si="61"/>
        <v>0</v>
      </c>
      <c r="H243" s="10">
        <f t="shared" si="61"/>
        <v>0</v>
      </c>
      <c r="I243" s="10">
        <f t="shared" si="61"/>
        <v>0</v>
      </c>
      <c r="J243" s="10">
        <f t="shared" si="61"/>
        <v>0</v>
      </c>
      <c r="K243" s="3"/>
      <c r="L243" s="3"/>
      <c r="M243" s="3"/>
      <c r="N243" s="3"/>
      <c r="O243" s="3"/>
      <c r="P243" s="3"/>
      <c r="Q243" s="3"/>
      <c r="R243" s="3"/>
      <c r="S243" s="3"/>
      <c r="T243" s="3"/>
      <c r="U243" s="3"/>
      <c r="V243" s="3"/>
      <c r="W243" s="3"/>
    </row>
    <row r="244" spans="1:23" x14ac:dyDescent="0.25">
      <c r="A244" s="8" t="str">
        <f>A181</f>
        <v>Fertilizer(Rate/KG)</v>
      </c>
      <c r="B244" s="8"/>
      <c r="C244" s="10"/>
      <c r="D244" s="10"/>
      <c r="E244" s="10"/>
      <c r="F244" s="10"/>
      <c r="G244" s="10"/>
      <c r="H244" s="10"/>
      <c r="I244" s="10"/>
      <c r="J244" s="10"/>
      <c r="K244" s="3"/>
      <c r="L244" s="3"/>
      <c r="M244" s="3"/>
      <c r="N244" s="3"/>
      <c r="O244" s="3"/>
      <c r="P244" s="3"/>
      <c r="Q244" s="3"/>
      <c r="R244" s="3"/>
      <c r="S244" s="3"/>
      <c r="T244" s="3"/>
      <c r="U244" s="3"/>
      <c r="V244" s="3"/>
      <c r="W244" s="3"/>
    </row>
    <row r="245" spans="1:23" x14ac:dyDescent="0.25">
      <c r="A245" s="8" t="str">
        <f>A182</f>
        <v>SSP</v>
      </c>
      <c r="B245" s="8"/>
      <c r="C245" s="9">
        <v>0</v>
      </c>
      <c r="D245" s="10">
        <f t="shared" ref="D245:J245" si="62">C114*$C$245*D124</f>
        <v>0</v>
      </c>
      <c r="E245" s="10">
        <f t="shared" si="62"/>
        <v>0</v>
      </c>
      <c r="F245" s="10">
        <f t="shared" si="62"/>
        <v>0</v>
      </c>
      <c r="G245" s="10">
        <f t="shared" si="62"/>
        <v>0</v>
      </c>
      <c r="H245" s="10">
        <f t="shared" si="62"/>
        <v>0</v>
      </c>
      <c r="I245" s="10">
        <f t="shared" si="62"/>
        <v>0</v>
      </c>
      <c r="J245" s="10">
        <f t="shared" si="62"/>
        <v>0</v>
      </c>
      <c r="K245" s="3"/>
      <c r="L245" s="3"/>
      <c r="M245" s="3"/>
      <c r="N245" s="3"/>
      <c r="O245" s="3"/>
      <c r="P245" s="3"/>
      <c r="Q245" s="3"/>
      <c r="R245" s="3"/>
      <c r="S245" s="3"/>
      <c r="T245" s="3"/>
      <c r="U245" s="3"/>
      <c r="V245" s="3"/>
      <c r="W245" s="3"/>
    </row>
    <row r="246" spans="1:23" x14ac:dyDescent="0.25">
      <c r="A246" s="8" t="str">
        <f>A183</f>
        <v>Urea</v>
      </c>
      <c r="B246" s="8"/>
      <c r="C246" s="9">
        <v>0</v>
      </c>
      <c r="D246" s="10">
        <f t="shared" ref="D246:J246" si="63">C115*$C$246*D124</f>
        <v>0</v>
      </c>
      <c r="E246" s="10">
        <f t="shared" si="63"/>
        <v>0</v>
      </c>
      <c r="F246" s="10">
        <f t="shared" si="63"/>
        <v>0</v>
      </c>
      <c r="G246" s="10">
        <f t="shared" si="63"/>
        <v>0</v>
      </c>
      <c r="H246" s="10">
        <f t="shared" si="63"/>
        <v>0</v>
      </c>
      <c r="I246" s="10">
        <f t="shared" si="63"/>
        <v>0</v>
      </c>
      <c r="J246" s="10">
        <f t="shared" si="63"/>
        <v>0</v>
      </c>
      <c r="K246" s="3"/>
      <c r="L246" s="3"/>
      <c r="M246" s="3"/>
      <c r="N246" s="3"/>
      <c r="O246" s="3"/>
      <c r="P246" s="3"/>
      <c r="Q246" s="3"/>
      <c r="R246" s="3"/>
      <c r="S246" s="3"/>
      <c r="T246" s="3"/>
      <c r="U246" s="3"/>
      <c r="V246" s="3"/>
      <c r="W246" s="3"/>
    </row>
    <row r="247" spans="1:23" x14ac:dyDescent="0.25">
      <c r="A247" s="8" t="str">
        <f>A184</f>
        <v>DAP</v>
      </c>
      <c r="B247" s="8"/>
      <c r="C247" s="9">
        <v>0</v>
      </c>
      <c r="D247" s="10">
        <f t="shared" ref="D247:J247" si="64">C116*$C$247*D124</f>
        <v>0</v>
      </c>
      <c r="E247" s="10">
        <f t="shared" si="64"/>
        <v>0</v>
      </c>
      <c r="F247" s="10">
        <f t="shared" si="64"/>
        <v>0</v>
      </c>
      <c r="G247" s="10">
        <f t="shared" si="64"/>
        <v>0</v>
      </c>
      <c r="H247" s="10">
        <f t="shared" si="64"/>
        <v>0</v>
      </c>
      <c r="I247" s="10">
        <f t="shared" si="64"/>
        <v>0</v>
      </c>
      <c r="J247" s="10">
        <f t="shared" si="64"/>
        <v>0</v>
      </c>
      <c r="K247" s="3"/>
      <c r="L247" s="3"/>
      <c r="M247" s="3"/>
      <c r="N247" s="3"/>
      <c r="O247" s="3"/>
      <c r="P247" s="3"/>
      <c r="Q247" s="3"/>
      <c r="R247" s="3"/>
      <c r="S247" s="3"/>
      <c r="T247" s="3"/>
      <c r="U247" s="3"/>
      <c r="V247" s="3"/>
      <c r="W247" s="3"/>
    </row>
    <row r="248" spans="1:23" x14ac:dyDescent="0.25">
      <c r="A248" s="8"/>
      <c r="B248" s="8"/>
      <c r="C248" s="10"/>
      <c r="D248" s="10"/>
      <c r="E248" s="10"/>
      <c r="F248" s="10"/>
      <c r="G248" s="10"/>
      <c r="H248" s="10"/>
      <c r="I248" s="10"/>
      <c r="J248" s="10"/>
      <c r="K248" s="3"/>
      <c r="L248" s="3"/>
      <c r="M248" s="3"/>
      <c r="N248" s="3"/>
      <c r="O248" s="3"/>
      <c r="P248" s="3"/>
      <c r="Q248" s="3"/>
      <c r="R248" s="3"/>
      <c r="S248" s="3"/>
      <c r="T248" s="3"/>
      <c r="U248" s="3"/>
      <c r="V248" s="3"/>
      <c r="W248" s="3"/>
    </row>
    <row r="249" spans="1:23" x14ac:dyDescent="0.25">
      <c r="A249" s="8" t="str">
        <f>A186</f>
        <v>Pesticide</v>
      </c>
      <c r="B249" s="8"/>
      <c r="C249" s="10"/>
      <c r="D249" s="10"/>
      <c r="E249" s="10"/>
      <c r="F249" s="10"/>
      <c r="G249" s="10"/>
      <c r="H249" s="10"/>
      <c r="I249" s="10"/>
      <c r="J249" s="10"/>
      <c r="K249" s="3"/>
      <c r="L249" s="3"/>
      <c r="M249" s="3"/>
      <c r="N249" s="3"/>
      <c r="O249" s="3"/>
      <c r="P249" s="3"/>
      <c r="Q249" s="3"/>
      <c r="R249" s="3"/>
      <c r="S249" s="3"/>
      <c r="T249" s="3"/>
      <c r="U249" s="3"/>
      <c r="V249" s="3"/>
      <c r="W249" s="3"/>
    </row>
    <row r="250" spans="1:23" x14ac:dyDescent="0.25">
      <c r="A250" s="8" t="str">
        <f>A187</f>
        <v>Dupont Coragen</v>
      </c>
      <c r="B250" s="8"/>
      <c r="C250" s="9">
        <v>0</v>
      </c>
      <c r="D250" s="10">
        <f t="shared" ref="D250:J250" si="65">C118*$C$250*D124</f>
        <v>0</v>
      </c>
      <c r="E250" s="10">
        <f t="shared" si="65"/>
        <v>0</v>
      </c>
      <c r="F250" s="10">
        <f t="shared" si="65"/>
        <v>0</v>
      </c>
      <c r="G250" s="10">
        <f t="shared" si="65"/>
        <v>0</v>
      </c>
      <c r="H250" s="10">
        <f t="shared" si="65"/>
        <v>0</v>
      </c>
      <c r="I250" s="10">
        <f t="shared" si="65"/>
        <v>0</v>
      </c>
      <c r="J250" s="10">
        <f t="shared" si="65"/>
        <v>0</v>
      </c>
      <c r="K250" s="3"/>
      <c r="L250" s="3"/>
      <c r="M250" s="3"/>
      <c r="N250" s="3"/>
      <c r="O250" s="3"/>
      <c r="P250" s="3"/>
      <c r="Q250" s="3"/>
      <c r="R250" s="3"/>
      <c r="S250" s="3"/>
      <c r="T250" s="3"/>
      <c r="U250" s="3"/>
      <c r="V250" s="3"/>
      <c r="W250" s="3"/>
    </row>
    <row r="251" spans="1:23" x14ac:dyDescent="0.25">
      <c r="A251" s="8" t="str">
        <f>A188</f>
        <v>Confidor Boyer</v>
      </c>
      <c r="B251" s="8"/>
      <c r="C251" s="9">
        <v>0</v>
      </c>
      <c r="D251" s="10">
        <f t="shared" ref="D251:J251" si="66">C119*$C$251*D124</f>
        <v>0</v>
      </c>
      <c r="E251" s="10">
        <f t="shared" si="66"/>
        <v>0</v>
      </c>
      <c r="F251" s="10">
        <f t="shared" si="66"/>
        <v>0</v>
      </c>
      <c r="G251" s="10">
        <f t="shared" si="66"/>
        <v>0</v>
      </c>
      <c r="H251" s="10">
        <f t="shared" si="66"/>
        <v>0</v>
      </c>
      <c r="I251" s="10">
        <f t="shared" si="66"/>
        <v>0</v>
      </c>
      <c r="J251" s="10">
        <f t="shared" si="66"/>
        <v>0</v>
      </c>
      <c r="K251" s="3"/>
      <c r="L251" s="3"/>
      <c r="M251" s="3"/>
      <c r="N251" s="3"/>
      <c r="O251" s="3"/>
      <c r="P251" s="3"/>
      <c r="Q251" s="3"/>
      <c r="R251" s="3"/>
      <c r="S251" s="3"/>
      <c r="T251" s="3"/>
      <c r="U251" s="3"/>
      <c r="V251" s="3"/>
      <c r="W251" s="3"/>
    </row>
    <row r="252" spans="1:23" x14ac:dyDescent="0.25">
      <c r="A252" s="8"/>
      <c r="B252" s="8"/>
      <c r="C252" s="10"/>
      <c r="D252" s="10"/>
      <c r="E252" s="10"/>
      <c r="F252" s="10"/>
      <c r="G252" s="10"/>
      <c r="H252" s="10"/>
      <c r="I252" s="10"/>
      <c r="J252" s="10"/>
      <c r="K252" s="3"/>
      <c r="L252" s="3"/>
      <c r="M252" s="3"/>
      <c r="N252" s="3"/>
      <c r="O252" s="3"/>
      <c r="P252" s="3"/>
      <c r="Q252" s="3"/>
      <c r="R252" s="3"/>
      <c r="S252" s="3"/>
      <c r="T252" s="3"/>
      <c r="U252" s="3"/>
      <c r="V252" s="3"/>
      <c r="W252" s="3"/>
    </row>
    <row r="253" spans="1:23" x14ac:dyDescent="0.25">
      <c r="A253" s="8" t="s">
        <v>284</v>
      </c>
      <c r="B253" s="8"/>
      <c r="C253" s="103">
        <v>0</v>
      </c>
      <c r="D253" s="10">
        <f t="shared" ref="D253:J253" si="67">(SUM(C63:C119)/50)*$C$253*D124</f>
        <v>0</v>
      </c>
      <c r="E253" s="10">
        <f t="shared" si="67"/>
        <v>0</v>
      </c>
      <c r="F253" s="10">
        <f t="shared" si="67"/>
        <v>0</v>
      </c>
      <c r="G253" s="10">
        <f t="shared" si="67"/>
        <v>0</v>
      </c>
      <c r="H253" s="10">
        <f t="shared" si="67"/>
        <v>0</v>
      </c>
      <c r="I253" s="10">
        <f t="shared" si="67"/>
        <v>0</v>
      </c>
      <c r="J253" s="10">
        <f t="shared" si="67"/>
        <v>0</v>
      </c>
      <c r="K253" s="3"/>
      <c r="L253" s="3"/>
      <c r="M253" s="3"/>
      <c r="N253" s="3"/>
      <c r="O253" s="3"/>
      <c r="P253" s="3"/>
      <c r="Q253" s="3"/>
      <c r="R253" s="3"/>
      <c r="S253" s="3"/>
      <c r="T253" s="3"/>
      <c r="U253" s="3"/>
      <c r="V253" s="3"/>
      <c r="W253" s="3"/>
    </row>
    <row r="254" spans="1:23" x14ac:dyDescent="0.25">
      <c r="A254" s="8" t="s">
        <v>171</v>
      </c>
      <c r="B254" s="8"/>
      <c r="C254" s="103">
        <v>0</v>
      </c>
      <c r="D254" s="10">
        <f t="shared" ref="D254:J254" si="68">(SUM(C63:C119)/50)*$C$254*D124</f>
        <v>0</v>
      </c>
      <c r="E254" s="10">
        <f t="shared" si="68"/>
        <v>0</v>
      </c>
      <c r="F254" s="10">
        <f t="shared" si="68"/>
        <v>0</v>
      </c>
      <c r="G254" s="10">
        <f t="shared" si="68"/>
        <v>0</v>
      </c>
      <c r="H254" s="10">
        <f t="shared" si="68"/>
        <v>0</v>
      </c>
      <c r="I254" s="10">
        <f t="shared" si="68"/>
        <v>0</v>
      </c>
      <c r="J254" s="10">
        <f t="shared" si="68"/>
        <v>0</v>
      </c>
      <c r="K254" s="3"/>
      <c r="L254" s="3"/>
      <c r="M254" s="3"/>
      <c r="N254" s="3"/>
      <c r="O254" s="3"/>
      <c r="P254" s="3"/>
      <c r="Q254" s="3"/>
      <c r="R254" s="3"/>
      <c r="S254" s="3"/>
      <c r="T254" s="3"/>
      <c r="U254" s="3"/>
      <c r="V254" s="3"/>
      <c r="W254" s="3"/>
    </row>
    <row r="255" spans="1:23" x14ac:dyDescent="0.25">
      <c r="A255" s="8"/>
      <c r="B255" s="8"/>
      <c r="C255" s="9"/>
      <c r="D255" s="97"/>
      <c r="E255" s="10"/>
      <c r="F255" s="10"/>
      <c r="G255" s="10"/>
      <c r="H255" s="10"/>
      <c r="I255" s="10"/>
      <c r="J255" s="10"/>
      <c r="K255" s="3"/>
      <c r="L255" s="3"/>
      <c r="M255" s="3"/>
      <c r="N255" s="3"/>
      <c r="O255" s="3"/>
      <c r="P255" s="3"/>
      <c r="Q255" s="3"/>
      <c r="R255" s="3"/>
      <c r="S255" s="3"/>
      <c r="T255" s="3"/>
      <c r="U255" s="3"/>
      <c r="V255" s="3"/>
      <c r="W255" s="3"/>
    </row>
    <row r="256" spans="1:23" x14ac:dyDescent="0.25">
      <c r="A256" s="8"/>
      <c r="B256" s="8"/>
      <c r="C256" s="9"/>
      <c r="D256" s="97"/>
      <c r="E256" s="10"/>
      <c r="F256" s="10"/>
      <c r="G256" s="10"/>
      <c r="H256" s="10"/>
      <c r="I256" s="10"/>
      <c r="J256" s="10"/>
      <c r="K256" s="3"/>
      <c r="L256" s="3"/>
      <c r="M256" s="3"/>
      <c r="N256" s="3"/>
      <c r="O256" s="3"/>
      <c r="P256" s="3"/>
      <c r="Q256" s="3"/>
      <c r="R256" s="3"/>
      <c r="S256" s="3"/>
      <c r="T256" s="3"/>
      <c r="U256" s="3"/>
      <c r="V256" s="3"/>
      <c r="W256" s="3"/>
    </row>
    <row r="257" spans="1:23" x14ac:dyDescent="0.25">
      <c r="A257" s="8"/>
      <c r="B257" s="8"/>
      <c r="C257" s="9"/>
      <c r="D257" s="97"/>
      <c r="E257" s="10"/>
      <c r="F257" s="10"/>
      <c r="G257" s="10"/>
      <c r="H257" s="10"/>
      <c r="I257" s="10"/>
      <c r="J257" s="10"/>
      <c r="K257" s="3"/>
      <c r="L257" s="3"/>
      <c r="M257" s="3"/>
      <c r="N257" s="3"/>
      <c r="O257" s="3"/>
      <c r="P257" s="3"/>
      <c r="Q257" s="3"/>
      <c r="R257" s="3"/>
      <c r="S257" s="3"/>
      <c r="T257" s="3"/>
      <c r="U257" s="3"/>
      <c r="V257" s="3"/>
      <c r="W257" s="3"/>
    </row>
    <row r="258" spans="1:23" x14ac:dyDescent="0.25">
      <c r="A258" s="8"/>
      <c r="B258" s="8"/>
      <c r="C258" s="9"/>
      <c r="D258" s="97"/>
      <c r="E258" s="10"/>
      <c r="F258" s="10"/>
      <c r="G258" s="10"/>
      <c r="H258" s="10"/>
      <c r="I258" s="10"/>
      <c r="J258" s="10"/>
      <c r="K258" s="3"/>
      <c r="L258" s="3"/>
      <c r="M258" s="3"/>
      <c r="N258" s="3"/>
      <c r="O258" s="3"/>
      <c r="P258" s="3"/>
      <c r="Q258" s="3"/>
      <c r="R258" s="3"/>
      <c r="S258" s="3"/>
      <c r="T258" s="3"/>
      <c r="U258" s="3"/>
      <c r="V258" s="3"/>
      <c r="W258" s="3"/>
    </row>
    <row r="259" spans="1:23" x14ac:dyDescent="0.25">
      <c r="A259" s="8" t="s">
        <v>335</v>
      </c>
      <c r="B259" s="8"/>
      <c r="C259" s="10"/>
      <c r="D259" s="97">
        <v>0</v>
      </c>
      <c r="E259" s="10">
        <f>'5.Closing Stock &amp; W Capital'!F6</f>
        <v>0</v>
      </c>
      <c r="F259" s="10">
        <f>'5.Closing Stock &amp; W Capital'!G6</f>
        <v>0</v>
      </c>
      <c r="G259" s="10">
        <f>'5.Closing Stock &amp; W Capital'!H6</f>
        <v>0</v>
      </c>
      <c r="H259" s="10">
        <f>'5.Closing Stock &amp; W Capital'!I6</f>
        <v>0</v>
      </c>
      <c r="I259" s="10">
        <f>'5.Closing Stock &amp; W Capital'!J6</f>
        <v>0</v>
      </c>
      <c r="J259" s="10">
        <f>'5.Closing Stock &amp; W Capital'!K6</f>
        <v>0</v>
      </c>
      <c r="K259" s="3"/>
      <c r="L259" s="3"/>
      <c r="M259" s="3"/>
      <c r="N259" s="3"/>
      <c r="O259" s="3"/>
      <c r="P259" s="3"/>
      <c r="Q259" s="3"/>
      <c r="R259" s="3"/>
      <c r="S259" s="3"/>
      <c r="T259" s="3"/>
      <c r="U259" s="3"/>
      <c r="V259" s="3"/>
      <c r="W259" s="3"/>
    </row>
    <row r="260" spans="1:23" x14ac:dyDescent="0.25">
      <c r="A260" s="14" t="s">
        <v>336</v>
      </c>
      <c r="B260" s="8"/>
      <c r="C260" s="8"/>
      <c r="D260" s="97">
        <f>'5.Closing Stock &amp; W Capital'!E15</f>
        <v>0</v>
      </c>
      <c r="E260" s="10">
        <f>'5.Closing Stock &amp; W Capital'!F15</f>
        <v>0</v>
      </c>
      <c r="F260" s="10">
        <f>'5.Closing Stock &amp; W Capital'!G15</f>
        <v>0</v>
      </c>
      <c r="G260" s="10">
        <f>'5.Closing Stock &amp; W Capital'!H15</f>
        <v>0</v>
      </c>
      <c r="H260" s="10">
        <f>'5.Closing Stock &amp; W Capital'!I15</f>
        <v>0</v>
      </c>
      <c r="I260" s="10">
        <f>'5.Closing Stock &amp; W Capital'!J15</f>
        <v>0</v>
      </c>
      <c r="J260" s="10">
        <f>'5.Closing Stock &amp; W Capital'!K15</f>
        <v>0</v>
      </c>
      <c r="K260" s="3"/>
      <c r="L260" s="3"/>
      <c r="M260" s="3"/>
      <c r="N260" s="3"/>
      <c r="O260" s="3"/>
      <c r="P260" s="3"/>
      <c r="Q260" s="3"/>
      <c r="R260" s="3"/>
      <c r="S260" s="3"/>
      <c r="T260" s="3"/>
      <c r="U260" s="3"/>
      <c r="V260" s="3"/>
      <c r="W260" s="3"/>
    </row>
    <row r="261" spans="1:23" x14ac:dyDescent="0.25">
      <c r="A261" s="8"/>
      <c r="B261" s="8"/>
      <c r="C261" s="8"/>
      <c r="D261" s="3"/>
      <c r="E261" s="3"/>
      <c r="F261" s="3"/>
      <c r="G261" s="3"/>
      <c r="H261" s="3"/>
      <c r="I261" s="3"/>
      <c r="J261" s="3"/>
      <c r="K261" s="3"/>
      <c r="L261" s="3"/>
      <c r="M261" s="3"/>
      <c r="N261" s="3"/>
      <c r="O261" s="3"/>
      <c r="P261" s="3"/>
      <c r="Q261" s="3"/>
      <c r="R261" s="3"/>
      <c r="S261" s="3"/>
      <c r="T261" s="3"/>
      <c r="U261" s="3"/>
      <c r="V261" s="3"/>
      <c r="W261" s="3"/>
    </row>
    <row r="262" spans="1:23" x14ac:dyDescent="0.25">
      <c r="A262" s="11" t="s">
        <v>313</v>
      </c>
      <c r="B262" s="11"/>
      <c r="C262" s="12"/>
      <c r="D262" s="12">
        <f>SUM(D197:D258)+D259-D260</f>
        <v>0</v>
      </c>
      <c r="E262" s="12">
        <f t="shared" ref="E262:J262" si="69">SUM(E197:E258)+E259-E260</f>
        <v>0</v>
      </c>
      <c r="F262" s="12">
        <f t="shared" si="69"/>
        <v>0</v>
      </c>
      <c r="G262" s="12">
        <f t="shared" si="69"/>
        <v>0</v>
      </c>
      <c r="H262" s="12">
        <f t="shared" si="69"/>
        <v>0</v>
      </c>
      <c r="I262" s="12">
        <f t="shared" si="69"/>
        <v>0</v>
      </c>
      <c r="J262" s="12">
        <f t="shared" si="69"/>
        <v>0</v>
      </c>
      <c r="K262" s="3"/>
      <c r="L262" s="3"/>
      <c r="M262" s="3"/>
      <c r="N262" s="3"/>
      <c r="O262" s="3"/>
      <c r="P262" s="3"/>
      <c r="Q262" s="3"/>
      <c r="R262" s="3"/>
      <c r="S262" s="3"/>
      <c r="T262" s="3"/>
      <c r="U262" s="3"/>
      <c r="V262" s="3"/>
      <c r="W262" s="3"/>
    </row>
    <row r="263" spans="1:23" x14ac:dyDescent="0.25">
      <c r="A263" s="8"/>
      <c r="B263" s="8"/>
      <c r="C263" s="10"/>
      <c r="D263" s="10"/>
      <c r="E263" s="10"/>
      <c r="F263" s="10"/>
      <c r="G263" s="10"/>
      <c r="H263" s="10"/>
      <c r="I263" s="10"/>
      <c r="J263" s="10"/>
      <c r="K263" s="3"/>
      <c r="L263" s="3"/>
      <c r="M263" s="3"/>
      <c r="N263" s="3"/>
      <c r="O263" s="3"/>
      <c r="P263" s="3"/>
      <c r="Q263" s="3"/>
      <c r="R263" s="3"/>
      <c r="S263" s="3"/>
      <c r="T263" s="3"/>
      <c r="U263" s="3"/>
      <c r="V263" s="3"/>
      <c r="W263" s="3"/>
    </row>
    <row r="264" spans="1:23" x14ac:dyDescent="0.25">
      <c r="A264" s="11" t="s">
        <v>303</v>
      </c>
      <c r="B264" s="11"/>
      <c r="C264" s="10"/>
      <c r="D264" s="10"/>
      <c r="E264" s="10"/>
      <c r="F264" s="10"/>
      <c r="G264" s="10"/>
      <c r="H264" s="10"/>
      <c r="I264" s="10"/>
      <c r="J264" s="10"/>
      <c r="K264" s="3"/>
      <c r="L264" s="3"/>
      <c r="M264" s="3"/>
      <c r="N264" s="3"/>
      <c r="O264" s="3"/>
      <c r="P264" s="3"/>
      <c r="Q264" s="3"/>
      <c r="R264" s="3"/>
      <c r="S264" s="3"/>
      <c r="T264" s="3"/>
      <c r="U264" s="3"/>
      <c r="V264" s="3"/>
      <c r="W264" s="3"/>
    </row>
    <row r="265" spans="1:23" x14ac:dyDescent="0.25">
      <c r="A265" s="8" t="s">
        <v>318</v>
      </c>
      <c r="B265" s="8">
        <v>12</v>
      </c>
      <c r="C265" s="9"/>
      <c r="D265" s="10">
        <f t="shared" ref="D265:J265" si="70">$B$265*$C$265*D124</f>
        <v>0</v>
      </c>
      <c r="E265" s="10">
        <f t="shared" si="70"/>
        <v>0</v>
      </c>
      <c r="F265" s="10">
        <f t="shared" si="70"/>
        <v>0</v>
      </c>
      <c r="G265" s="10">
        <f t="shared" si="70"/>
        <v>0</v>
      </c>
      <c r="H265" s="10">
        <f t="shared" si="70"/>
        <v>0</v>
      </c>
      <c r="I265" s="10">
        <f t="shared" si="70"/>
        <v>0</v>
      </c>
      <c r="J265" s="10">
        <f t="shared" si="70"/>
        <v>0</v>
      </c>
      <c r="K265" s="3"/>
      <c r="L265" s="3"/>
      <c r="M265" s="3"/>
      <c r="N265" s="3"/>
      <c r="O265" s="3"/>
      <c r="P265" s="3"/>
      <c r="Q265" s="3"/>
      <c r="R265" s="3"/>
      <c r="S265" s="3"/>
      <c r="T265" s="3"/>
      <c r="U265" s="3"/>
      <c r="V265" s="3"/>
      <c r="W265" s="3"/>
    </row>
    <row r="266" spans="1:23" x14ac:dyDescent="0.25">
      <c r="A266" s="8" t="s">
        <v>319</v>
      </c>
      <c r="B266" s="1">
        <v>1</v>
      </c>
      <c r="C266" s="9"/>
      <c r="D266" s="10">
        <f t="shared" ref="D266:J266" si="71">$B$266*$C$266*12*D124</f>
        <v>0</v>
      </c>
      <c r="E266" s="10">
        <f t="shared" si="71"/>
        <v>0</v>
      </c>
      <c r="F266" s="10">
        <f t="shared" si="71"/>
        <v>0</v>
      </c>
      <c r="G266" s="10">
        <f t="shared" si="71"/>
        <v>0</v>
      </c>
      <c r="H266" s="10">
        <f t="shared" si="71"/>
        <v>0</v>
      </c>
      <c r="I266" s="10">
        <f t="shared" si="71"/>
        <v>0</v>
      </c>
      <c r="J266" s="10">
        <f t="shared" si="71"/>
        <v>0</v>
      </c>
      <c r="K266" s="3"/>
      <c r="L266" s="3"/>
      <c r="M266" s="3"/>
      <c r="N266" s="3"/>
      <c r="O266" s="3"/>
      <c r="P266" s="3"/>
      <c r="Q266" s="3"/>
      <c r="R266" s="3"/>
      <c r="S266" s="3"/>
      <c r="T266" s="3"/>
      <c r="U266" s="3"/>
      <c r="V266" s="3"/>
      <c r="W266" s="3"/>
    </row>
    <row r="267" spans="1:23" x14ac:dyDescent="0.25">
      <c r="A267" s="8" t="s">
        <v>192</v>
      </c>
      <c r="B267" s="1">
        <v>1</v>
      </c>
      <c r="C267" s="9"/>
      <c r="D267" s="10">
        <f t="shared" ref="D267:J267" si="72">$B$267*$C$267*12*D124</f>
        <v>0</v>
      </c>
      <c r="E267" s="10">
        <f t="shared" si="72"/>
        <v>0</v>
      </c>
      <c r="F267" s="10">
        <f t="shared" si="72"/>
        <v>0</v>
      </c>
      <c r="G267" s="10">
        <f t="shared" si="72"/>
        <v>0</v>
      </c>
      <c r="H267" s="10">
        <f t="shared" si="72"/>
        <v>0</v>
      </c>
      <c r="I267" s="10">
        <f t="shared" si="72"/>
        <v>0</v>
      </c>
      <c r="J267" s="10">
        <f t="shared" si="72"/>
        <v>0</v>
      </c>
      <c r="K267" s="3"/>
      <c r="L267" s="3"/>
      <c r="M267" s="3"/>
      <c r="N267" s="3"/>
      <c r="O267" s="3"/>
      <c r="P267" s="3"/>
      <c r="Q267" s="3"/>
      <c r="R267" s="3"/>
      <c r="S267" s="3"/>
      <c r="T267" s="3"/>
      <c r="U267" s="3"/>
      <c r="V267" s="3"/>
      <c r="W267" s="3"/>
    </row>
    <row r="268" spans="1:23" x14ac:dyDescent="0.25">
      <c r="A268" s="8" t="s">
        <v>320</v>
      </c>
      <c r="B268" s="8">
        <v>12</v>
      </c>
      <c r="C268" s="9"/>
      <c r="D268" s="10">
        <f t="shared" ref="D268:J268" si="73">$B$268*$C$268*D124</f>
        <v>0</v>
      </c>
      <c r="E268" s="10">
        <f t="shared" si="73"/>
        <v>0</v>
      </c>
      <c r="F268" s="10">
        <f t="shared" si="73"/>
        <v>0</v>
      </c>
      <c r="G268" s="10">
        <f t="shared" si="73"/>
        <v>0</v>
      </c>
      <c r="H268" s="10">
        <f t="shared" si="73"/>
        <v>0</v>
      </c>
      <c r="I268" s="10">
        <f t="shared" si="73"/>
        <v>0</v>
      </c>
      <c r="J268" s="10">
        <f t="shared" si="73"/>
        <v>0</v>
      </c>
      <c r="K268" s="3"/>
      <c r="L268" s="3"/>
      <c r="M268" s="3"/>
      <c r="N268" s="3"/>
      <c r="O268" s="3"/>
      <c r="P268" s="3"/>
      <c r="Q268" s="3"/>
      <c r="R268" s="3"/>
      <c r="S268" s="3"/>
      <c r="T268" s="3"/>
      <c r="U268" s="3"/>
      <c r="V268" s="3"/>
      <c r="W268" s="3"/>
    </row>
    <row r="269" spans="1:23" x14ac:dyDescent="0.25">
      <c r="A269" s="8"/>
      <c r="B269" s="8"/>
      <c r="C269" s="9"/>
      <c r="D269" s="10"/>
      <c r="E269" s="10"/>
      <c r="F269" s="10"/>
      <c r="G269" s="10"/>
      <c r="H269" s="10"/>
      <c r="I269" s="10"/>
      <c r="J269" s="10"/>
      <c r="K269" s="3"/>
      <c r="L269" s="3"/>
      <c r="M269" s="3"/>
      <c r="N269" s="3"/>
      <c r="O269" s="3"/>
      <c r="P269" s="3"/>
      <c r="Q269" s="3"/>
      <c r="R269" s="3"/>
      <c r="S269" s="3"/>
      <c r="T269" s="3"/>
      <c r="U269" s="3"/>
      <c r="V269" s="3"/>
      <c r="W269" s="3"/>
    </row>
    <row r="270" spans="1:23" x14ac:dyDescent="0.25">
      <c r="A270" s="8"/>
      <c r="B270" s="8"/>
      <c r="C270" s="9"/>
      <c r="D270" s="10"/>
      <c r="E270" s="10"/>
      <c r="F270" s="10"/>
      <c r="G270" s="10"/>
      <c r="H270" s="10"/>
      <c r="I270" s="10"/>
      <c r="J270" s="10"/>
      <c r="K270" s="3"/>
      <c r="L270" s="3"/>
      <c r="M270" s="3"/>
      <c r="N270" s="3"/>
      <c r="O270" s="3"/>
      <c r="P270" s="3"/>
      <c r="Q270" s="3"/>
      <c r="R270" s="3"/>
      <c r="S270" s="3"/>
      <c r="T270" s="3"/>
      <c r="U270" s="3"/>
      <c r="V270" s="3"/>
      <c r="W270" s="3"/>
    </row>
    <row r="271" spans="1:23" x14ac:dyDescent="0.25">
      <c r="A271" s="8"/>
      <c r="B271" s="8"/>
      <c r="C271" s="9"/>
      <c r="D271" s="10"/>
      <c r="E271" s="10"/>
      <c r="F271" s="10"/>
      <c r="G271" s="10"/>
      <c r="H271" s="10"/>
      <c r="I271" s="10"/>
      <c r="J271" s="10"/>
      <c r="K271" s="3"/>
      <c r="L271" s="3"/>
      <c r="M271" s="3"/>
      <c r="N271" s="3"/>
      <c r="O271" s="3"/>
      <c r="P271" s="3"/>
      <c r="Q271" s="3"/>
      <c r="R271" s="3"/>
      <c r="S271" s="3"/>
      <c r="T271" s="3"/>
      <c r="U271" s="3"/>
      <c r="V271" s="3"/>
      <c r="W271" s="3"/>
    </row>
    <row r="272" spans="1:23" x14ac:dyDescent="0.25">
      <c r="A272" s="8"/>
      <c r="B272" s="8"/>
      <c r="C272" s="9"/>
      <c r="D272" s="10"/>
      <c r="E272" s="10"/>
      <c r="F272" s="10"/>
      <c r="G272" s="10"/>
      <c r="H272" s="10"/>
      <c r="I272" s="10"/>
      <c r="J272" s="10"/>
      <c r="K272" s="3"/>
      <c r="L272" s="3"/>
      <c r="M272" s="3"/>
      <c r="N272" s="3"/>
      <c r="O272" s="3"/>
      <c r="P272" s="3"/>
      <c r="Q272" s="3"/>
      <c r="R272" s="3"/>
      <c r="S272" s="3"/>
      <c r="T272" s="3"/>
      <c r="U272" s="3"/>
      <c r="V272" s="3"/>
      <c r="W272" s="3"/>
    </row>
    <row r="273" spans="1:23" x14ac:dyDescent="0.25">
      <c r="A273" s="11" t="s">
        <v>317</v>
      </c>
      <c r="B273" s="11"/>
      <c r="C273" s="12"/>
      <c r="D273" s="12">
        <f>SUM(D265:D272)</f>
        <v>0</v>
      </c>
      <c r="E273" s="12">
        <f t="shared" ref="E273:J273" si="74">SUM(E265:E272)</f>
        <v>0</v>
      </c>
      <c r="F273" s="12">
        <f t="shared" si="74"/>
        <v>0</v>
      </c>
      <c r="G273" s="12">
        <f t="shared" si="74"/>
        <v>0</v>
      </c>
      <c r="H273" s="12">
        <f t="shared" si="74"/>
        <v>0</v>
      </c>
      <c r="I273" s="12">
        <f t="shared" si="74"/>
        <v>0</v>
      </c>
      <c r="J273" s="12">
        <f t="shared" si="74"/>
        <v>0</v>
      </c>
      <c r="K273" s="3"/>
      <c r="L273" s="3"/>
      <c r="M273" s="3"/>
      <c r="N273" s="3"/>
      <c r="O273" s="3"/>
      <c r="P273" s="3"/>
      <c r="Q273" s="3"/>
      <c r="R273" s="3"/>
      <c r="S273" s="3"/>
      <c r="T273" s="3"/>
      <c r="U273" s="3"/>
      <c r="V273" s="3"/>
      <c r="W273" s="3"/>
    </row>
    <row r="274" spans="1:23" x14ac:dyDescent="0.25">
      <c r="A274" s="78" t="s">
        <v>134</v>
      </c>
      <c r="B274" s="78"/>
      <c r="C274" s="98"/>
      <c r="D274" s="12">
        <f t="shared" ref="D274:J274" si="75">D262+D273</f>
        <v>0</v>
      </c>
      <c r="E274" s="12">
        <f t="shared" si="75"/>
        <v>0</v>
      </c>
      <c r="F274" s="12">
        <f t="shared" si="75"/>
        <v>0</v>
      </c>
      <c r="G274" s="12">
        <f t="shared" si="75"/>
        <v>0</v>
      </c>
      <c r="H274" s="12">
        <f t="shared" si="75"/>
        <v>0</v>
      </c>
      <c r="I274" s="12">
        <f t="shared" si="75"/>
        <v>0</v>
      </c>
      <c r="J274" s="12">
        <f t="shared" si="75"/>
        <v>0</v>
      </c>
      <c r="K274" s="3"/>
      <c r="L274" s="3"/>
      <c r="M274" s="3"/>
      <c r="N274" s="3"/>
      <c r="O274" s="3"/>
      <c r="P274" s="3"/>
      <c r="Q274" s="3"/>
      <c r="R274" s="3"/>
      <c r="S274" s="3"/>
      <c r="T274" s="3"/>
      <c r="U274" s="3"/>
      <c r="V274" s="3"/>
      <c r="W274" s="3"/>
    </row>
    <row r="275" spans="1:23" x14ac:dyDescent="0.25">
      <c r="A275" s="8"/>
      <c r="B275" s="8"/>
      <c r="C275" s="10"/>
      <c r="D275" s="10"/>
      <c r="E275" s="10"/>
      <c r="F275" s="10"/>
      <c r="G275" s="10"/>
      <c r="H275" s="10"/>
      <c r="I275" s="10"/>
      <c r="J275" s="10"/>
      <c r="K275" s="3"/>
      <c r="L275" s="3"/>
      <c r="M275" s="3"/>
      <c r="N275" s="3"/>
      <c r="O275" s="3"/>
      <c r="P275" s="3"/>
      <c r="Q275" s="3"/>
      <c r="R275" s="3"/>
      <c r="S275" s="3"/>
      <c r="T275" s="3"/>
      <c r="U275" s="3"/>
      <c r="V275" s="3"/>
      <c r="W275" s="3"/>
    </row>
    <row r="276" spans="1:23" x14ac:dyDescent="0.25">
      <c r="A276" s="78" t="s">
        <v>7</v>
      </c>
      <c r="B276" s="78"/>
      <c r="C276" s="98"/>
      <c r="D276" s="12">
        <f t="shared" ref="D276:J276" si="76">D191-D274</f>
        <v>0</v>
      </c>
      <c r="E276" s="12">
        <f t="shared" si="76"/>
        <v>0</v>
      </c>
      <c r="F276" s="12">
        <f t="shared" si="76"/>
        <v>0</v>
      </c>
      <c r="G276" s="12">
        <f t="shared" si="76"/>
        <v>0</v>
      </c>
      <c r="H276" s="12">
        <f t="shared" si="76"/>
        <v>0</v>
      </c>
      <c r="I276" s="12">
        <f t="shared" si="76"/>
        <v>0</v>
      </c>
      <c r="J276" s="12">
        <f t="shared" si="76"/>
        <v>0</v>
      </c>
      <c r="K276" s="3"/>
      <c r="L276" s="3"/>
      <c r="M276" s="3"/>
      <c r="N276" s="3"/>
      <c r="O276" s="3"/>
      <c r="P276" s="3"/>
      <c r="Q276" s="3"/>
      <c r="R276" s="3"/>
      <c r="S276" s="3"/>
      <c r="T276" s="3"/>
      <c r="U276" s="3"/>
      <c r="V276" s="3"/>
      <c r="W276" s="3"/>
    </row>
    <row r="277" spans="1:23" x14ac:dyDescent="0.25">
      <c r="A277" s="25"/>
      <c r="B277" s="25"/>
      <c r="C277" s="25"/>
      <c r="D277" s="3"/>
      <c r="E277" s="3"/>
      <c r="F277" s="3"/>
      <c r="G277" s="3"/>
      <c r="H277" s="3"/>
      <c r="I277" s="3"/>
      <c r="J277" s="3"/>
      <c r="K277" s="3"/>
      <c r="L277" s="3"/>
      <c r="M277" s="3"/>
      <c r="N277" s="3"/>
      <c r="O277" s="3"/>
      <c r="P277" s="3"/>
      <c r="Q277" s="3"/>
      <c r="R277" s="3"/>
      <c r="S277" s="3"/>
      <c r="T277" s="3"/>
      <c r="U277" s="3"/>
      <c r="V277" s="3"/>
      <c r="W277" s="3"/>
    </row>
    <row r="278" spans="1:23"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x14ac:dyDescent="0.25">
      <c r="A279" s="563" t="s">
        <v>411</v>
      </c>
      <c r="B279" s="563"/>
      <c r="C279" s="563"/>
      <c r="D279" s="563"/>
      <c r="E279" s="563"/>
      <c r="F279" s="563"/>
      <c r="G279" s="563"/>
      <c r="H279" s="563"/>
      <c r="I279" s="563"/>
      <c r="J279" s="563"/>
    </row>
    <row r="281" spans="1:23" x14ac:dyDescent="0.25">
      <c r="A281" t="s">
        <v>530</v>
      </c>
    </row>
    <row r="282" spans="1:23" x14ac:dyDescent="0.25">
      <c r="A282">
        <v>1</v>
      </c>
      <c r="B282" t="s">
        <v>543</v>
      </c>
    </row>
    <row r="283" spans="1:23" x14ac:dyDescent="0.25">
      <c r="A283">
        <v>2</v>
      </c>
      <c r="B283" t="s">
        <v>544</v>
      </c>
    </row>
    <row r="284" spans="1:23" x14ac:dyDescent="0.25">
      <c r="A284">
        <v>3</v>
      </c>
      <c r="B284" s="3" t="s">
        <v>595</v>
      </c>
    </row>
  </sheetData>
  <mergeCells count="3">
    <mergeCell ref="A122:J122"/>
    <mergeCell ref="A279:J279"/>
    <mergeCell ref="A2:I2"/>
  </mergeCells>
  <pageMargins left="0.7" right="0.7" top="0.75" bottom="0.75" header="0.3" footer="0.3"/>
  <pageSetup paperSize="9" scale="50" orientation="portrait" r:id="rId1"/>
  <rowBreaks count="2" manualBreakCount="2">
    <brk id="99" max="9" man="1"/>
    <brk id="19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Normal="80" zoomScaleSheetLayoutView="80" workbookViewId="0">
      <selection activeCell="J15" sqref="J15"/>
    </sheetView>
  </sheetViews>
  <sheetFormatPr defaultColWidth="10" defaultRowHeight="15" x14ac:dyDescent="0.25"/>
  <cols>
    <col min="1" max="1" width="41.7109375" customWidth="1"/>
    <col min="2" max="2" width="11.5703125" customWidth="1"/>
    <col min="3" max="3" width="12.5703125" customWidth="1"/>
    <col min="4" max="4" width="15.28515625" customWidth="1"/>
    <col min="5" max="8" width="17.28515625" customWidth="1"/>
    <col min="9" max="10" width="16.7109375" customWidth="1"/>
  </cols>
  <sheetData>
    <row r="3" spans="1:8" ht="18.75" x14ac:dyDescent="0.3">
      <c r="A3" s="547" t="s">
        <v>590</v>
      </c>
      <c r="B3" s="547"/>
      <c r="C3" s="547"/>
      <c r="D3" s="547"/>
      <c r="E3" s="547"/>
      <c r="F3" s="547"/>
      <c r="G3" s="547"/>
      <c r="H3" s="547"/>
    </row>
    <row r="4" spans="1:8" ht="18.75" x14ac:dyDescent="0.3">
      <c r="A4" s="547" t="s">
        <v>591</v>
      </c>
      <c r="B4" s="547"/>
      <c r="C4" s="547"/>
      <c r="D4" s="547"/>
      <c r="E4" s="547"/>
      <c r="F4" s="547"/>
      <c r="G4" s="547"/>
      <c r="H4" s="547"/>
    </row>
    <row r="5" spans="1:8" x14ac:dyDescent="0.25">
      <c r="A5" s="3" t="s">
        <v>160</v>
      </c>
      <c r="B5" s="62">
        <v>1</v>
      </c>
      <c r="C5" s="3" t="s">
        <v>460</v>
      </c>
      <c r="D5" s="3"/>
      <c r="E5" s="3"/>
      <c r="F5" s="3"/>
      <c r="G5" s="3"/>
      <c r="H5" s="3"/>
    </row>
    <row r="6" spans="1:8" x14ac:dyDescent="0.25">
      <c r="A6" s="3" t="s">
        <v>161</v>
      </c>
      <c r="B6" s="63">
        <v>1</v>
      </c>
      <c r="C6" s="3"/>
      <c r="D6" s="3"/>
      <c r="E6" s="3"/>
      <c r="F6" s="3"/>
      <c r="G6" s="3"/>
      <c r="H6" s="3"/>
    </row>
    <row r="7" spans="1:8" x14ac:dyDescent="0.25">
      <c r="A7" s="3"/>
      <c r="B7" s="63"/>
      <c r="C7" s="3"/>
      <c r="D7" s="3"/>
      <c r="E7" s="3"/>
      <c r="F7" s="3"/>
      <c r="G7" s="3"/>
      <c r="H7" s="3"/>
    </row>
    <row r="8" spans="1:8" x14ac:dyDescent="0.25">
      <c r="A8" s="3"/>
      <c r="B8" s="6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
      <c r="A11" s="16" t="s">
        <v>0</v>
      </c>
      <c r="B11" s="17" t="s">
        <v>2</v>
      </c>
      <c r="C11" s="17" t="s">
        <v>3</v>
      </c>
      <c r="D11" s="17" t="s">
        <v>4</v>
      </c>
      <c r="E11" s="17" t="s">
        <v>5</v>
      </c>
      <c r="F11" s="17" t="s">
        <v>6</v>
      </c>
      <c r="G11" s="17" t="s">
        <v>168</v>
      </c>
      <c r="H11" s="17" t="s">
        <v>167</v>
      </c>
    </row>
    <row r="12" spans="1:8" x14ac:dyDescent="0.25">
      <c r="A12" s="8" t="s">
        <v>169</v>
      </c>
      <c r="B12" s="66">
        <f t="shared" ref="B12:H12" si="0">B39/($B$5*$B$6)</f>
        <v>0</v>
      </c>
      <c r="C12" s="66">
        <f t="shared" si="0"/>
        <v>0</v>
      </c>
      <c r="D12" s="66">
        <f t="shared" si="0"/>
        <v>0</v>
      </c>
      <c r="E12" s="66">
        <f t="shared" si="0"/>
        <v>0</v>
      </c>
      <c r="F12" s="66">
        <f t="shared" si="0"/>
        <v>0</v>
      </c>
      <c r="G12" s="66">
        <f t="shared" si="0"/>
        <v>0</v>
      </c>
      <c r="H12" s="66">
        <f t="shared" si="0"/>
        <v>0</v>
      </c>
    </row>
    <row r="13" spans="1:8" x14ac:dyDescent="0.25">
      <c r="A13" s="8" t="str">
        <f>'11.F&amp;V Crop Production details'!A74</f>
        <v>Onion</v>
      </c>
      <c r="B13" s="8">
        <f>'11.F&amp;V Crop Production details'!B74</f>
        <v>0</v>
      </c>
      <c r="C13" s="8">
        <f>'11.F&amp;V Crop Production details'!C74</f>
        <v>0</v>
      </c>
      <c r="D13" s="8">
        <f>'11.F&amp;V Crop Production details'!D74</f>
        <v>0</v>
      </c>
      <c r="E13" s="8">
        <f>'11.F&amp;V Crop Production details'!E74</f>
        <v>0</v>
      </c>
      <c r="F13" s="8">
        <f>'11.F&amp;V Crop Production details'!F74</f>
        <v>0</v>
      </c>
      <c r="G13" s="8">
        <f>'11.F&amp;V Crop Production details'!G74</f>
        <v>0</v>
      </c>
      <c r="H13" s="8">
        <f>'11.F&amp;V Crop Production details'!H74</f>
        <v>0</v>
      </c>
    </row>
    <row r="14" spans="1:8" x14ac:dyDescent="0.25">
      <c r="A14" s="8" t="str">
        <f>'11.F&amp;V Crop Production details'!A75</f>
        <v>Tomato</v>
      </c>
      <c r="B14" s="8">
        <f>'11.F&amp;V Crop Production details'!B75</f>
        <v>0</v>
      </c>
      <c r="C14" s="8">
        <f>'11.F&amp;V Crop Production details'!C75</f>
        <v>0</v>
      </c>
      <c r="D14" s="8">
        <f>'11.F&amp;V Crop Production details'!D75</f>
        <v>0</v>
      </c>
      <c r="E14" s="8">
        <f>'11.F&amp;V Crop Production details'!E75</f>
        <v>0</v>
      </c>
      <c r="F14" s="8">
        <f>'11.F&amp;V Crop Production details'!F75</f>
        <v>0</v>
      </c>
      <c r="G14" s="8">
        <f>'11.F&amp;V Crop Production details'!G75</f>
        <v>0</v>
      </c>
      <c r="H14" s="8">
        <f>'11.F&amp;V Crop Production details'!H75</f>
        <v>0</v>
      </c>
    </row>
    <row r="15" spans="1:8" x14ac:dyDescent="0.25">
      <c r="A15" s="8" t="str">
        <f>'11.F&amp;V Crop Production details'!A76</f>
        <v>Okra</v>
      </c>
      <c r="B15" s="8">
        <f>'11.F&amp;V Crop Production details'!B76</f>
        <v>0</v>
      </c>
      <c r="C15" s="8">
        <f>'11.F&amp;V Crop Production details'!C76</f>
        <v>0</v>
      </c>
      <c r="D15" s="8">
        <f>'11.F&amp;V Crop Production details'!D76</f>
        <v>0</v>
      </c>
      <c r="E15" s="8">
        <f>'11.F&amp;V Crop Production details'!E76</f>
        <v>0</v>
      </c>
      <c r="F15" s="8">
        <f>'11.F&amp;V Crop Production details'!F76</f>
        <v>0</v>
      </c>
      <c r="G15" s="8">
        <f>'11.F&amp;V Crop Production details'!G76</f>
        <v>0</v>
      </c>
      <c r="H15" s="8">
        <f>'11.F&amp;V Crop Production details'!H76</f>
        <v>0</v>
      </c>
    </row>
    <row r="16" spans="1:8" x14ac:dyDescent="0.25">
      <c r="A16" s="8" t="str">
        <f>'11.F&amp;V Crop Production details'!A77</f>
        <v>Chilli</v>
      </c>
      <c r="B16" s="8">
        <f>'11.F&amp;V Crop Production details'!B77</f>
        <v>0</v>
      </c>
      <c r="C16" s="8">
        <f>'11.F&amp;V Crop Production details'!C77</f>
        <v>0</v>
      </c>
      <c r="D16" s="8">
        <f>'11.F&amp;V Crop Production details'!D77</f>
        <v>0</v>
      </c>
      <c r="E16" s="8">
        <f>'11.F&amp;V Crop Production details'!E77</f>
        <v>0</v>
      </c>
      <c r="F16" s="8">
        <f>'11.F&amp;V Crop Production details'!F77</f>
        <v>0</v>
      </c>
      <c r="G16" s="8">
        <f>'11.F&amp;V Crop Production details'!G77</f>
        <v>0</v>
      </c>
      <c r="H16" s="8">
        <f>'11.F&amp;V Crop Production details'!H77</f>
        <v>0</v>
      </c>
    </row>
    <row r="17" spans="1:8" x14ac:dyDescent="0.25">
      <c r="A17" s="8" t="str">
        <f>'11.F&amp;V Crop Production details'!A78</f>
        <v>Potato</v>
      </c>
      <c r="B17" s="8">
        <f>'11.F&amp;V Crop Production details'!B78</f>
        <v>0</v>
      </c>
      <c r="C17" s="8">
        <f>'11.F&amp;V Crop Production details'!C78</f>
        <v>0</v>
      </c>
      <c r="D17" s="8">
        <f>'11.F&amp;V Crop Production details'!D78</f>
        <v>0</v>
      </c>
      <c r="E17" s="8">
        <f>'11.F&amp;V Crop Production details'!E78</f>
        <v>0</v>
      </c>
      <c r="F17" s="8">
        <f>'11.F&amp;V Crop Production details'!F78</f>
        <v>0</v>
      </c>
      <c r="G17" s="8">
        <f>'11.F&amp;V Crop Production details'!G78</f>
        <v>0</v>
      </c>
      <c r="H17" s="8">
        <f>'11.F&amp;V Crop Production details'!H78</f>
        <v>0</v>
      </c>
    </row>
    <row r="18" spans="1:8" x14ac:dyDescent="0.25">
      <c r="A18" s="8">
        <f>'11.F&amp;V Crop Production details'!A79</f>
        <v>0</v>
      </c>
      <c r="B18" s="8">
        <f>'11.F&amp;V Crop Production details'!B79</f>
        <v>0</v>
      </c>
      <c r="C18" s="8">
        <f>'11.F&amp;V Crop Production details'!C79</f>
        <v>0</v>
      </c>
      <c r="D18" s="8">
        <f>'11.F&amp;V Crop Production details'!D79</f>
        <v>0</v>
      </c>
      <c r="E18" s="8">
        <f>'11.F&amp;V Crop Production details'!E79</f>
        <v>0</v>
      </c>
      <c r="F18" s="8">
        <f>'11.F&amp;V Crop Production details'!F79</f>
        <v>0</v>
      </c>
      <c r="G18" s="8">
        <f>'11.F&amp;V Crop Production details'!G79</f>
        <v>0</v>
      </c>
      <c r="H18" s="8">
        <f>'11.F&amp;V Crop Production details'!H79</f>
        <v>0</v>
      </c>
    </row>
    <row r="19" spans="1:8" x14ac:dyDescent="0.25">
      <c r="A19" s="8">
        <f>'11.F&amp;V Crop Production details'!A80</f>
        <v>0</v>
      </c>
      <c r="B19" s="8">
        <f>'11.F&amp;V Crop Production details'!B80</f>
        <v>0</v>
      </c>
      <c r="C19" s="8">
        <f>'11.F&amp;V Crop Production details'!C80</f>
        <v>0</v>
      </c>
      <c r="D19" s="8">
        <f>'11.F&amp;V Crop Production details'!D80</f>
        <v>0</v>
      </c>
      <c r="E19" s="8">
        <f>'11.F&amp;V Crop Production details'!E80</f>
        <v>0</v>
      </c>
      <c r="F19" s="8">
        <f>'11.F&amp;V Crop Production details'!F80</f>
        <v>0</v>
      </c>
      <c r="G19" s="8">
        <f>'11.F&amp;V Crop Production details'!G80</f>
        <v>0</v>
      </c>
      <c r="H19" s="8">
        <f>'11.F&amp;V Crop Production details'!H80</f>
        <v>0</v>
      </c>
    </row>
    <row r="20" spans="1:8" x14ac:dyDescent="0.25">
      <c r="A20" s="8">
        <f>'11.F&amp;V Crop Production details'!A81</f>
        <v>0</v>
      </c>
      <c r="B20" s="8">
        <f>'11.F&amp;V Crop Production details'!B81</f>
        <v>0</v>
      </c>
      <c r="C20" s="8">
        <f>'11.F&amp;V Crop Production details'!C81</f>
        <v>0</v>
      </c>
      <c r="D20" s="8">
        <f>'11.F&amp;V Crop Production details'!D81</f>
        <v>0</v>
      </c>
      <c r="E20" s="8">
        <f>'11.F&amp;V Crop Production details'!E81</f>
        <v>0</v>
      </c>
      <c r="F20" s="8">
        <f>'11.F&amp;V Crop Production details'!F81</f>
        <v>0</v>
      </c>
      <c r="G20" s="8">
        <f>'11.F&amp;V Crop Production details'!G81</f>
        <v>0</v>
      </c>
      <c r="H20" s="8">
        <f>'11.F&amp;V Crop Production details'!H81</f>
        <v>0</v>
      </c>
    </row>
    <row r="21" spans="1:8" x14ac:dyDescent="0.25">
      <c r="A21" s="8">
        <f>'11.F&amp;V Crop Production details'!A82</f>
        <v>0</v>
      </c>
      <c r="B21" s="8">
        <f>'11.F&amp;V Crop Production details'!B82</f>
        <v>0</v>
      </c>
      <c r="C21" s="8">
        <f>'11.F&amp;V Crop Production details'!C82</f>
        <v>0</v>
      </c>
      <c r="D21" s="8">
        <f>'11.F&amp;V Crop Production details'!D82</f>
        <v>0</v>
      </c>
      <c r="E21" s="8">
        <f>'11.F&amp;V Crop Production details'!E82</f>
        <v>0</v>
      </c>
      <c r="F21" s="8">
        <f>'11.F&amp;V Crop Production details'!F82</f>
        <v>0</v>
      </c>
      <c r="G21" s="8">
        <f>'11.F&amp;V Crop Production details'!G82</f>
        <v>0</v>
      </c>
      <c r="H21" s="8">
        <f>'11.F&amp;V Crop Production details'!H82</f>
        <v>0</v>
      </c>
    </row>
    <row r="22" spans="1:8" x14ac:dyDescent="0.25">
      <c r="A22" s="8" t="str">
        <f>'11.F&amp;V Crop Production details'!A83</f>
        <v>Onion</v>
      </c>
      <c r="B22" s="8">
        <f>'11.F&amp;V Crop Production details'!B83</f>
        <v>0</v>
      </c>
      <c r="C22" s="8">
        <f>'11.F&amp;V Crop Production details'!C83</f>
        <v>0</v>
      </c>
      <c r="D22" s="8">
        <f>'11.F&amp;V Crop Production details'!D83</f>
        <v>0</v>
      </c>
      <c r="E22" s="8">
        <f>'11.F&amp;V Crop Production details'!E83</f>
        <v>0</v>
      </c>
      <c r="F22" s="8">
        <f>'11.F&amp;V Crop Production details'!F83</f>
        <v>0</v>
      </c>
      <c r="G22" s="8">
        <f>'11.F&amp;V Crop Production details'!G83</f>
        <v>0</v>
      </c>
      <c r="H22" s="8">
        <f>'11.F&amp;V Crop Production details'!H83</f>
        <v>0</v>
      </c>
    </row>
    <row r="23" spans="1:8" x14ac:dyDescent="0.25">
      <c r="A23" s="8" t="str">
        <f>'11.F&amp;V Crop Production details'!A84</f>
        <v>Tomato</v>
      </c>
      <c r="B23" s="8">
        <f>'11.F&amp;V Crop Production details'!B84</f>
        <v>0</v>
      </c>
      <c r="C23" s="8">
        <f>'11.F&amp;V Crop Production details'!C84</f>
        <v>0</v>
      </c>
      <c r="D23" s="8">
        <f>'11.F&amp;V Crop Production details'!D84</f>
        <v>0</v>
      </c>
      <c r="E23" s="8">
        <f>'11.F&amp;V Crop Production details'!E84</f>
        <v>0</v>
      </c>
      <c r="F23" s="8">
        <f>'11.F&amp;V Crop Production details'!F84</f>
        <v>0</v>
      </c>
      <c r="G23" s="8">
        <f>'11.F&amp;V Crop Production details'!G84</f>
        <v>0</v>
      </c>
      <c r="H23" s="8">
        <f>'11.F&amp;V Crop Production details'!H84</f>
        <v>0</v>
      </c>
    </row>
    <row r="24" spans="1:8" x14ac:dyDescent="0.25">
      <c r="A24" s="8" t="str">
        <f>'11.F&amp;V Crop Production details'!A85</f>
        <v>Okra</v>
      </c>
      <c r="B24" s="8">
        <f>'11.F&amp;V Crop Production details'!B85</f>
        <v>0</v>
      </c>
      <c r="C24" s="8">
        <f>'11.F&amp;V Crop Production details'!C85</f>
        <v>0</v>
      </c>
      <c r="D24" s="8">
        <f>'11.F&amp;V Crop Production details'!D85</f>
        <v>0</v>
      </c>
      <c r="E24" s="8">
        <f>'11.F&amp;V Crop Production details'!E85</f>
        <v>0</v>
      </c>
      <c r="F24" s="8">
        <f>'11.F&amp;V Crop Production details'!F85</f>
        <v>0</v>
      </c>
      <c r="G24" s="8">
        <f>'11.F&amp;V Crop Production details'!G85</f>
        <v>0</v>
      </c>
      <c r="H24" s="8">
        <f>'11.F&amp;V Crop Production details'!H85</f>
        <v>0</v>
      </c>
    </row>
    <row r="25" spans="1:8" x14ac:dyDescent="0.25">
      <c r="A25" s="8" t="str">
        <f>'11.F&amp;V Crop Production details'!A86</f>
        <v>Chilli</v>
      </c>
      <c r="B25" s="8">
        <f>'11.F&amp;V Crop Production details'!B86</f>
        <v>0</v>
      </c>
      <c r="C25" s="8">
        <f>'11.F&amp;V Crop Production details'!C86</f>
        <v>0</v>
      </c>
      <c r="D25" s="8">
        <f>'11.F&amp;V Crop Production details'!D86</f>
        <v>0</v>
      </c>
      <c r="E25" s="8">
        <f>'11.F&amp;V Crop Production details'!E86</f>
        <v>0</v>
      </c>
      <c r="F25" s="8">
        <f>'11.F&amp;V Crop Production details'!F86</f>
        <v>0</v>
      </c>
      <c r="G25" s="8">
        <f>'11.F&amp;V Crop Production details'!G86</f>
        <v>0</v>
      </c>
      <c r="H25" s="8">
        <f>'11.F&amp;V Crop Production details'!H86</f>
        <v>0</v>
      </c>
    </row>
    <row r="26" spans="1:8" x14ac:dyDescent="0.25">
      <c r="A26" s="8" t="str">
        <f>'11.F&amp;V Crop Production details'!A87</f>
        <v>Brinjal</v>
      </c>
      <c r="B26" s="8">
        <f>'11.F&amp;V Crop Production details'!B87</f>
        <v>0</v>
      </c>
      <c r="C26" s="8">
        <f>'11.F&amp;V Crop Production details'!C87</f>
        <v>0</v>
      </c>
      <c r="D26" s="8">
        <f>'11.F&amp;V Crop Production details'!D87</f>
        <v>0</v>
      </c>
      <c r="E26" s="8">
        <f>'11.F&amp;V Crop Production details'!E87</f>
        <v>0</v>
      </c>
      <c r="F26" s="8">
        <f>'11.F&amp;V Crop Production details'!F87</f>
        <v>0</v>
      </c>
      <c r="G26" s="8">
        <f>'11.F&amp;V Crop Production details'!G87</f>
        <v>0</v>
      </c>
      <c r="H26" s="8">
        <f>'11.F&amp;V Crop Production details'!H87</f>
        <v>0</v>
      </c>
    </row>
    <row r="27" spans="1:8" x14ac:dyDescent="0.25">
      <c r="A27" s="8">
        <f>'11.F&amp;V Crop Production details'!A88</f>
        <v>0</v>
      </c>
      <c r="B27" s="8">
        <f>'11.F&amp;V Crop Production details'!B88</f>
        <v>0</v>
      </c>
      <c r="C27" s="8">
        <f>'11.F&amp;V Crop Production details'!C88</f>
        <v>0</v>
      </c>
      <c r="D27" s="8">
        <f>'11.F&amp;V Crop Production details'!D88</f>
        <v>0</v>
      </c>
      <c r="E27" s="8">
        <f>'11.F&amp;V Crop Production details'!E88</f>
        <v>0</v>
      </c>
      <c r="F27" s="8">
        <f>'11.F&amp;V Crop Production details'!F88</f>
        <v>0</v>
      </c>
      <c r="G27" s="8">
        <f>'11.F&amp;V Crop Production details'!G88</f>
        <v>0</v>
      </c>
      <c r="H27" s="8">
        <f>'11.F&amp;V Crop Production details'!H88</f>
        <v>0</v>
      </c>
    </row>
    <row r="28" spans="1:8" x14ac:dyDescent="0.25">
      <c r="A28" s="8">
        <f>'11.F&amp;V Crop Production details'!A89</f>
        <v>0</v>
      </c>
      <c r="B28" s="8">
        <f>'11.F&amp;V Crop Production details'!B89</f>
        <v>0</v>
      </c>
      <c r="C28" s="8">
        <f>'11.F&amp;V Crop Production details'!C89</f>
        <v>0</v>
      </c>
      <c r="D28" s="8">
        <f>'11.F&amp;V Crop Production details'!D89</f>
        <v>0</v>
      </c>
      <c r="E28" s="8">
        <f>'11.F&amp;V Crop Production details'!E89</f>
        <v>0</v>
      </c>
      <c r="F28" s="8">
        <f>'11.F&amp;V Crop Production details'!F89</f>
        <v>0</v>
      </c>
      <c r="G28" s="8">
        <f>'11.F&amp;V Crop Production details'!G89</f>
        <v>0</v>
      </c>
      <c r="H28" s="8">
        <f>'11.F&amp;V Crop Production details'!H89</f>
        <v>0</v>
      </c>
    </row>
    <row r="29" spans="1:8" x14ac:dyDescent="0.25">
      <c r="A29" s="8">
        <f>'11.F&amp;V Crop Production details'!A90</f>
        <v>0</v>
      </c>
      <c r="B29" s="8">
        <f>'11.F&amp;V Crop Production details'!B90</f>
        <v>0</v>
      </c>
      <c r="C29" s="8">
        <f>'11.F&amp;V Crop Production details'!C90</f>
        <v>0</v>
      </c>
      <c r="D29" s="8">
        <f>'11.F&amp;V Crop Production details'!D90</f>
        <v>0</v>
      </c>
      <c r="E29" s="8">
        <f>'11.F&amp;V Crop Production details'!E90</f>
        <v>0</v>
      </c>
      <c r="F29" s="8">
        <f>'11.F&amp;V Crop Production details'!F90</f>
        <v>0</v>
      </c>
      <c r="G29" s="8">
        <f>'11.F&amp;V Crop Production details'!G90</f>
        <v>0</v>
      </c>
      <c r="H29" s="8">
        <f>'11.F&amp;V Crop Production details'!H90</f>
        <v>0</v>
      </c>
    </row>
    <row r="30" spans="1:8" x14ac:dyDescent="0.25">
      <c r="A30" s="8">
        <f>'11.F&amp;V Crop Production details'!A91</f>
        <v>0</v>
      </c>
      <c r="B30" s="8">
        <f>'11.F&amp;V Crop Production details'!B91</f>
        <v>0</v>
      </c>
      <c r="C30" s="8">
        <f>'11.F&amp;V Crop Production details'!C91</f>
        <v>0</v>
      </c>
      <c r="D30" s="8">
        <f>'11.F&amp;V Crop Production details'!D91</f>
        <v>0</v>
      </c>
      <c r="E30" s="8">
        <f>'11.F&amp;V Crop Production details'!E91</f>
        <v>0</v>
      </c>
      <c r="F30" s="8">
        <f>'11.F&amp;V Crop Production details'!F91</f>
        <v>0</v>
      </c>
      <c r="G30" s="8">
        <f>'11.F&amp;V Crop Production details'!G91</f>
        <v>0</v>
      </c>
      <c r="H30" s="8">
        <f>'11.F&amp;V Crop Production details'!H91</f>
        <v>0</v>
      </c>
    </row>
    <row r="31" spans="1:8" x14ac:dyDescent="0.25">
      <c r="A31" s="8">
        <f>'11.F&amp;V Crop Production details'!A92</f>
        <v>0</v>
      </c>
      <c r="B31" s="8">
        <f>'11.F&amp;V Crop Production details'!B92</f>
        <v>0</v>
      </c>
      <c r="C31" s="8">
        <f>'11.F&amp;V Crop Production details'!C92</f>
        <v>0</v>
      </c>
      <c r="D31" s="8">
        <f>'11.F&amp;V Crop Production details'!D92</f>
        <v>0</v>
      </c>
      <c r="E31" s="8">
        <f>'11.F&amp;V Crop Production details'!E92</f>
        <v>0</v>
      </c>
      <c r="F31" s="8">
        <f>'11.F&amp;V Crop Production details'!F92</f>
        <v>0</v>
      </c>
      <c r="G31" s="8">
        <f>'11.F&amp;V Crop Production details'!G92</f>
        <v>0</v>
      </c>
      <c r="H31" s="8">
        <f>'11.F&amp;V Crop Production details'!H92</f>
        <v>0</v>
      </c>
    </row>
    <row r="32" spans="1:8" x14ac:dyDescent="0.25">
      <c r="A32" s="8">
        <f>'11.F&amp;V Crop Production details'!A93</f>
        <v>0</v>
      </c>
      <c r="B32" s="8">
        <f>'11.F&amp;V Crop Production details'!B93</f>
        <v>0</v>
      </c>
      <c r="C32" s="8">
        <f>'11.F&amp;V Crop Production details'!C93</f>
        <v>0</v>
      </c>
      <c r="D32" s="8">
        <f>'11.F&amp;V Crop Production details'!D93</f>
        <v>0</v>
      </c>
      <c r="E32" s="8">
        <f>'11.F&amp;V Crop Production details'!E93</f>
        <v>0</v>
      </c>
      <c r="F32" s="8">
        <f>'11.F&amp;V Crop Production details'!F93</f>
        <v>0</v>
      </c>
      <c r="G32" s="8">
        <f>'11.F&amp;V Crop Production details'!G93</f>
        <v>0</v>
      </c>
      <c r="H32" s="8">
        <f>'11.F&amp;V Crop Production details'!H93</f>
        <v>0</v>
      </c>
    </row>
    <row r="33" spans="1:8" x14ac:dyDescent="0.25">
      <c r="A33" s="8">
        <f>'11.F&amp;V Crop Production details'!A94</f>
        <v>0</v>
      </c>
      <c r="B33" s="8">
        <f>'11.F&amp;V Crop Production details'!B94</f>
        <v>0</v>
      </c>
      <c r="C33" s="8">
        <f>'11.F&amp;V Crop Production details'!C94</f>
        <v>0</v>
      </c>
      <c r="D33" s="8">
        <f>'11.F&amp;V Crop Production details'!D94</f>
        <v>0</v>
      </c>
      <c r="E33" s="8">
        <f>'11.F&amp;V Crop Production details'!E94</f>
        <v>0</v>
      </c>
      <c r="F33" s="8">
        <f>'11.F&amp;V Crop Production details'!F94</f>
        <v>0</v>
      </c>
      <c r="G33" s="8">
        <f>'11.F&amp;V Crop Production details'!G94</f>
        <v>0</v>
      </c>
      <c r="H33" s="8">
        <f>'11.F&amp;V Crop Production details'!H94</f>
        <v>0</v>
      </c>
    </row>
    <row r="34" spans="1:8" x14ac:dyDescent="0.25">
      <c r="A34" s="8" t="str">
        <f>'11.F&amp;V Crop Production details'!A95</f>
        <v>Pomegranate</v>
      </c>
      <c r="B34" s="8">
        <f>'11.F&amp;V Crop Production details'!B95</f>
        <v>0</v>
      </c>
      <c r="C34" s="8">
        <f>'11.F&amp;V Crop Production details'!C95</f>
        <v>0</v>
      </c>
      <c r="D34" s="8">
        <f>'11.F&amp;V Crop Production details'!D95</f>
        <v>0</v>
      </c>
      <c r="E34" s="8">
        <f>'11.F&amp;V Crop Production details'!E95</f>
        <v>0</v>
      </c>
      <c r="F34" s="8">
        <f>'11.F&amp;V Crop Production details'!F95</f>
        <v>0</v>
      </c>
      <c r="G34" s="8">
        <f>'11.F&amp;V Crop Production details'!G95</f>
        <v>0</v>
      </c>
      <c r="H34" s="8">
        <f>'11.F&amp;V Crop Production details'!H95</f>
        <v>0</v>
      </c>
    </row>
    <row r="35" spans="1:8" x14ac:dyDescent="0.25">
      <c r="A35" s="8" t="str">
        <f>'11.F&amp;V Crop Production details'!A96</f>
        <v>Custard Apple</v>
      </c>
      <c r="B35" s="8">
        <f>'11.F&amp;V Crop Production details'!B96</f>
        <v>0</v>
      </c>
      <c r="C35" s="8">
        <f>'11.F&amp;V Crop Production details'!C96</f>
        <v>0</v>
      </c>
      <c r="D35" s="8">
        <f>'11.F&amp;V Crop Production details'!D96</f>
        <v>0</v>
      </c>
      <c r="E35" s="8">
        <f>'11.F&amp;V Crop Production details'!E96</f>
        <v>0</v>
      </c>
      <c r="F35" s="8">
        <f>'11.F&amp;V Crop Production details'!F96</f>
        <v>0</v>
      </c>
      <c r="G35" s="8">
        <f>'11.F&amp;V Crop Production details'!G96</f>
        <v>0</v>
      </c>
      <c r="H35" s="8">
        <f>'11.F&amp;V Crop Production details'!H96</f>
        <v>0</v>
      </c>
    </row>
    <row r="36" spans="1:8" x14ac:dyDescent="0.25">
      <c r="A36" s="8" t="str">
        <f>'11.F&amp;V Crop Production details'!A97</f>
        <v>Guava</v>
      </c>
      <c r="B36" s="8">
        <f>'11.F&amp;V Crop Production details'!B97</f>
        <v>0</v>
      </c>
      <c r="C36" s="8">
        <f>'11.F&amp;V Crop Production details'!C97</f>
        <v>0</v>
      </c>
      <c r="D36" s="8">
        <f>'11.F&amp;V Crop Production details'!D97</f>
        <v>0</v>
      </c>
      <c r="E36" s="8">
        <f>'11.F&amp;V Crop Production details'!E97</f>
        <v>0</v>
      </c>
      <c r="F36" s="8">
        <f>'11.F&amp;V Crop Production details'!F97</f>
        <v>0</v>
      </c>
      <c r="G36" s="8">
        <f>'11.F&amp;V Crop Production details'!G97</f>
        <v>0</v>
      </c>
      <c r="H36" s="8">
        <f>'11.F&amp;V Crop Production details'!H97</f>
        <v>0</v>
      </c>
    </row>
    <row r="37" spans="1:8" x14ac:dyDescent="0.25">
      <c r="A37" s="8" t="str">
        <f>'11.F&amp;V Crop Production details'!A98</f>
        <v>Citrus</v>
      </c>
      <c r="B37" s="8">
        <f>'11.F&amp;V Crop Production details'!B98</f>
        <v>0</v>
      </c>
      <c r="C37" s="8">
        <f>'11.F&amp;V Crop Production details'!C98</f>
        <v>0</v>
      </c>
      <c r="D37" s="8">
        <f>'11.F&amp;V Crop Production details'!D98</f>
        <v>0</v>
      </c>
      <c r="E37" s="8">
        <f>'11.F&amp;V Crop Production details'!E98</f>
        <v>0</v>
      </c>
      <c r="F37" s="8">
        <f>'11.F&amp;V Crop Production details'!F98</f>
        <v>0</v>
      </c>
      <c r="G37" s="8">
        <f>'11.F&amp;V Crop Production details'!G98</f>
        <v>0</v>
      </c>
      <c r="H37" s="8">
        <f>'11.F&amp;V Crop Production details'!H98</f>
        <v>0</v>
      </c>
    </row>
    <row r="38" spans="1:8" x14ac:dyDescent="0.25">
      <c r="A38" s="8"/>
      <c r="B38" s="8"/>
      <c r="C38" s="8"/>
      <c r="D38" s="8"/>
      <c r="E38" s="8"/>
      <c r="F38" s="8"/>
      <c r="G38" s="8"/>
      <c r="H38" s="8"/>
    </row>
    <row r="39" spans="1:8" x14ac:dyDescent="0.25">
      <c r="A39" s="8" t="s">
        <v>451</v>
      </c>
      <c r="B39" s="8">
        <f>SUM(B13:B37)</f>
        <v>0</v>
      </c>
      <c r="C39" s="8">
        <f t="shared" ref="C39:H39" si="1">SUM(C13:C37)</f>
        <v>0</v>
      </c>
      <c r="D39" s="8">
        <f t="shared" si="1"/>
        <v>0</v>
      </c>
      <c r="E39" s="8">
        <f t="shared" si="1"/>
        <v>0</v>
      </c>
      <c r="F39" s="8">
        <f t="shared" si="1"/>
        <v>0</v>
      </c>
      <c r="G39" s="8">
        <f t="shared" si="1"/>
        <v>0</v>
      </c>
      <c r="H39" s="8">
        <f t="shared" si="1"/>
        <v>0</v>
      </c>
    </row>
    <row r="40" spans="1:8" x14ac:dyDescent="0.25">
      <c r="A40" s="67" t="s">
        <v>164</v>
      </c>
      <c r="B40" s="19">
        <v>0</v>
      </c>
      <c r="C40" s="19">
        <f>B40</f>
        <v>0</v>
      </c>
      <c r="D40" s="19">
        <f t="shared" ref="D40:H40" si="2">C40</f>
        <v>0</v>
      </c>
      <c r="E40" s="19">
        <f t="shared" si="2"/>
        <v>0</v>
      </c>
      <c r="F40" s="19">
        <f t="shared" si="2"/>
        <v>0</v>
      </c>
      <c r="G40" s="19">
        <f t="shared" si="2"/>
        <v>0</v>
      </c>
      <c r="H40" s="19">
        <f t="shared" si="2"/>
        <v>0</v>
      </c>
    </row>
    <row r="41" spans="1:8" x14ac:dyDescent="0.25">
      <c r="A41" s="14" t="s">
        <v>461</v>
      </c>
      <c r="B41" s="68">
        <f>1-B40</f>
        <v>1</v>
      </c>
      <c r="C41" s="68">
        <f t="shared" ref="C41:H41" si="3">1-C40</f>
        <v>1</v>
      </c>
      <c r="D41" s="68">
        <f t="shared" si="3"/>
        <v>1</v>
      </c>
      <c r="E41" s="68">
        <f t="shared" si="3"/>
        <v>1</v>
      </c>
      <c r="F41" s="68">
        <f t="shared" si="3"/>
        <v>1</v>
      </c>
      <c r="G41" s="68">
        <f t="shared" si="3"/>
        <v>1</v>
      </c>
      <c r="H41" s="68">
        <f t="shared" si="3"/>
        <v>1</v>
      </c>
    </row>
    <row r="42" spans="1:8" x14ac:dyDescent="0.2">
      <c r="A42" s="11" t="s">
        <v>164</v>
      </c>
      <c r="B42" s="65">
        <f>B39*B40</f>
        <v>0</v>
      </c>
      <c r="C42" s="65">
        <f t="shared" ref="C42:H42" si="4">C39*C40</f>
        <v>0</v>
      </c>
      <c r="D42" s="65">
        <f t="shared" si="4"/>
        <v>0</v>
      </c>
      <c r="E42" s="65">
        <f t="shared" si="4"/>
        <v>0</v>
      </c>
      <c r="F42" s="65">
        <f t="shared" si="4"/>
        <v>0</v>
      </c>
      <c r="G42" s="65">
        <f t="shared" si="4"/>
        <v>0</v>
      </c>
      <c r="H42" s="65">
        <f t="shared" si="4"/>
        <v>0</v>
      </c>
    </row>
    <row r="43" spans="1:8" x14ac:dyDescent="0.2">
      <c r="A43" s="11" t="s">
        <v>165</v>
      </c>
      <c r="B43" s="12"/>
      <c r="C43" s="12"/>
      <c r="D43" s="12"/>
      <c r="E43" s="12"/>
      <c r="F43" s="12"/>
      <c r="G43" s="12"/>
      <c r="H43" s="12"/>
    </row>
    <row r="44" spans="1:8" x14ac:dyDescent="0.25">
      <c r="A44" s="8" t="str">
        <f t="shared" ref="A44:A61" si="5">A13</f>
        <v>Onion</v>
      </c>
      <c r="B44" s="10">
        <f t="shared" ref="B44:B61" si="6">B13*$B$41</f>
        <v>0</v>
      </c>
      <c r="C44" s="10">
        <f t="shared" ref="C44:C61" si="7">C13*$C$41</f>
        <v>0</v>
      </c>
      <c r="D44" s="10">
        <f t="shared" ref="D44:D61" si="8">D13*$D$41</f>
        <v>0</v>
      </c>
      <c r="E44" s="10">
        <f t="shared" ref="E44:E61" si="9">E13*$E$41</f>
        <v>0</v>
      </c>
      <c r="F44" s="10">
        <f t="shared" ref="F44:F61" si="10">F13*$F$41</f>
        <v>0</v>
      </c>
      <c r="G44" s="10">
        <f t="shared" ref="G44:G61" si="11">G13*$G$41</f>
        <v>0</v>
      </c>
      <c r="H44" s="10">
        <f t="shared" ref="H44:H61" si="12">H13*$H$41</f>
        <v>0</v>
      </c>
    </row>
    <row r="45" spans="1:8" x14ac:dyDescent="0.25">
      <c r="A45" s="8" t="str">
        <f t="shared" si="5"/>
        <v>Tomato</v>
      </c>
      <c r="B45" s="10">
        <f t="shared" si="6"/>
        <v>0</v>
      </c>
      <c r="C45" s="10">
        <f t="shared" si="7"/>
        <v>0</v>
      </c>
      <c r="D45" s="10">
        <f t="shared" si="8"/>
        <v>0</v>
      </c>
      <c r="E45" s="10">
        <f t="shared" si="9"/>
        <v>0</v>
      </c>
      <c r="F45" s="10">
        <f t="shared" si="10"/>
        <v>0</v>
      </c>
      <c r="G45" s="10">
        <f t="shared" si="11"/>
        <v>0</v>
      </c>
      <c r="H45" s="10">
        <f t="shared" si="12"/>
        <v>0</v>
      </c>
    </row>
    <row r="46" spans="1:8" x14ac:dyDescent="0.25">
      <c r="A46" s="8" t="str">
        <f t="shared" si="5"/>
        <v>Okra</v>
      </c>
      <c r="B46" s="10">
        <f t="shared" si="6"/>
        <v>0</v>
      </c>
      <c r="C46" s="10">
        <f t="shared" si="7"/>
        <v>0</v>
      </c>
      <c r="D46" s="10">
        <f t="shared" si="8"/>
        <v>0</v>
      </c>
      <c r="E46" s="10">
        <f t="shared" si="9"/>
        <v>0</v>
      </c>
      <c r="F46" s="10">
        <f t="shared" si="10"/>
        <v>0</v>
      </c>
      <c r="G46" s="10">
        <f t="shared" si="11"/>
        <v>0</v>
      </c>
      <c r="H46" s="10">
        <f t="shared" si="12"/>
        <v>0</v>
      </c>
    </row>
    <row r="47" spans="1:8" x14ac:dyDescent="0.25">
      <c r="A47" s="8" t="str">
        <f t="shared" si="5"/>
        <v>Chilli</v>
      </c>
      <c r="B47" s="10">
        <f t="shared" si="6"/>
        <v>0</v>
      </c>
      <c r="C47" s="10">
        <f t="shared" si="7"/>
        <v>0</v>
      </c>
      <c r="D47" s="10">
        <f t="shared" si="8"/>
        <v>0</v>
      </c>
      <c r="E47" s="10">
        <f t="shared" si="9"/>
        <v>0</v>
      </c>
      <c r="F47" s="10">
        <f t="shared" si="10"/>
        <v>0</v>
      </c>
      <c r="G47" s="10">
        <f t="shared" si="11"/>
        <v>0</v>
      </c>
      <c r="H47" s="10">
        <f t="shared" si="12"/>
        <v>0</v>
      </c>
    </row>
    <row r="48" spans="1:8" x14ac:dyDescent="0.25">
      <c r="A48" s="8" t="str">
        <f t="shared" si="5"/>
        <v>Potato</v>
      </c>
      <c r="B48" s="10">
        <f t="shared" si="6"/>
        <v>0</v>
      </c>
      <c r="C48" s="10">
        <f t="shared" si="7"/>
        <v>0</v>
      </c>
      <c r="D48" s="10">
        <f t="shared" si="8"/>
        <v>0</v>
      </c>
      <c r="E48" s="10">
        <f t="shared" si="9"/>
        <v>0</v>
      </c>
      <c r="F48" s="10">
        <f t="shared" si="10"/>
        <v>0</v>
      </c>
      <c r="G48" s="10">
        <f t="shared" si="11"/>
        <v>0</v>
      </c>
      <c r="H48" s="10">
        <f t="shared" si="12"/>
        <v>0</v>
      </c>
    </row>
    <row r="49" spans="1:8" x14ac:dyDescent="0.25">
      <c r="A49" s="8">
        <f t="shared" si="5"/>
        <v>0</v>
      </c>
      <c r="B49" s="10">
        <f t="shared" si="6"/>
        <v>0</v>
      </c>
      <c r="C49" s="10">
        <f t="shared" si="7"/>
        <v>0</v>
      </c>
      <c r="D49" s="10">
        <f t="shared" si="8"/>
        <v>0</v>
      </c>
      <c r="E49" s="10">
        <f t="shared" si="9"/>
        <v>0</v>
      </c>
      <c r="F49" s="10">
        <f t="shared" si="10"/>
        <v>0</v>
      </c>
      <c r="G49" s="10">
        <f t="shared" si="11"/>
        <v>0</v>
      </c>
      <c r="H49" s="10">
        <f t="shared" si="12"/>
        <v>0</v>
      </c>
    </row>
    <row r="50" spans="1:8" x14ac:dyDescent="0.25">
      <c r="A50" s="8">
        <f t="shared" si="5"/>
        <v>0</v>
      </c>
      <c r="B50" s="10">
        <f t="shared" si="6"/>
        <v>0</v>
      </c>
      <c r="C50" s="10">
        <f t="shared" si="7"/>
        <v>0</v>
      </c>
      <c r="D50" s="10">
        <f t="shared" si="8"/>
        <v>0</v>
      </c>
      <c r="E50" s="10">
        <f t="shared" si="9"/>
        <v>0</v>
      </c>
      <c r="F50" s="10">
        <f t="shared" si="10"/>
        <v>0</v>
      </c>
      <c r="G50" s="10">
        <f t="shared" si="11"/>
        <v>0</v>
      </c>
      <c r="H50" s="10">
        <f t="shared" si="12"/>
        <v>0</v>
      </c>
    </row>
    <row r="51" spans="1:8" x14ac:dyDescent="0.25">
      <c r="A51" s="8">
        <f t="shared" si="5"/>
        <v>0</v>
      </c>
      <c r="B51" s="10">
        <f t="shared" si="6"/>
        <v>0</v>
      </c>
      <c r="C51" s="10">
        <f t="shared" si="7"/>
        <v>0</v>
      </c>
      <c r="D51" s="10">
        <f t="shared" si="8"/>
        <v>0</v>
      </c>
      <c r="E51" s="10">
        <f t="shared" si="9"/>
        <v>0</v>
      </c>
      <c r="F51" s="10">
        <f t="shared" si="10"/>
        <v>0</v>
      </c>
      <c r="G51" s="10">
        <f t="shared" si="11"/>
        <v>0</v>
      </c>
      <c r="H51" s="10">
        <f t="shared" si="12"/>
        <v>0</v>
      </c>
    </row>
    <row r="52" spans="1:8" x14ac:dyDescent="0.25">
      <c r="A52" s="8">
        <f t="shared" si="5"/>
        <v>0</v>
      </c>
      <c r="B52" s="10">
        <f t="shared" si="6"/>
        <v>0</v>
      </c>
      <c r="C52" s="10">
        <f t="shared" si="7"/>
        <v>0</v>
      </c>
      <c r="D52" s="10">
        <f t="shared" si="8"/>
        <v>0</v>
      </c>
      <c r="E52" s="10">
        <f t="shared" si="9"/>
        <v>0</v>
      </c>
      <c r="F52" s="10">
        <f t="shared" si="10"/>
        <v>0</v>
      </c>
      <c r="G52" s="10">
        <f t="shared" si="11"/>
        <v>0</v>
      </c>
      <c r="H52" s="10">
        <f t="shared" si="12"/>
        <v>0</v>
      </c>
    </row>
    <row r="53" spans="1:8" x14ac:dyDescent="0.25">
      <c r="A53" s="8" t="str">
        <f t="shared" si="5"/>
        <v>Onion</v>
      </c>
      <c r="B53" s="10">
        <f t="shared" si="6"/>
        <v>0</v>
      </c>
      <c r="C53" s="10">
        <f t="shared" si="7"/>
        <v>0</v>
      </c>
      <c r="D53" s="10">
        <f t="shared" si="8"/>
        <v>0</v>
      </c>
      <c r="E53" s="10">
        <f t="shared" si="9"/>
        <v>0</v>
      </c>
      <c r="F53" s="10">
        <f t="shared" si="10"/>
        <v>0</v>
      </c>
      <c r="G53" s="10">
        <f t="shared" si="11"/>
        <v>0</v>
      </c>
      <c r="H53" s="10">
        <f t="shared" si="12"/>
        <v>0</v>
      </c>
    </row>
    <row r="54" spans="1:8" x14ac:dyDescent="0.25">
      <c r="A54" s="8" t="str">
        <f t="shared" si="5"/>
        <v>Tomato</v>
      </c>
      <c r="B54" s="10">
        <f t="shared" si="6"/>
        <v>0</v>
      </c>
      <c r="C54" s="10">
        <f t="shared" si="7"/>
        <v>0</v>
      </c>
      <c r="D54" s="10">
        <f t="shared" si="8"/>
        <v>0</v>
      </c>
      <c r="E54" s="10">
        <f t="shared" si="9"/>
        <v>0</v>
      </c>
      <c r="F54" s="10">
        <f t="shared" si="10"/>
        <v>0</v>
      </c>
      <c r="G54" s="10">
        <f t="shared" si="11"/>
        <v>0</v>
      </c>
      <c r="H54" s="10">
        <f t="shared" si="12"/>
        <v>0</v>
      </c>
    </row>
    <row r="55" spans="1:8" x14ac:dyDescent="0.25">
      <c r="A55" s="8" t="str">
        <f t="shared" si="5"/>
        <v>Okra</v>
      </c>
      <c r="B55" s="10">
        <f t="shared" si="6"/>
        <v>0</v>
      </c>
      <c r="C55" s="10">
        <f t="shared" si="7"/>
        <v>0</v>
      </c>
      <c r="D55" s="10">
        <f t="shared" si="8"/>
        <v>0</v>
      </c>
      <c r="E55" s="10">
        <f t="shared" si="9"/>
        <v>0</v>
      </c>
      <c r="F55" s="10">
        <f t="shared" si="10"/>
        <v>0</v>
      </c>
      <c r="G55" s="10">
        <f t="shared" si="11"/>
        <v>0</v>
      </c>
      <c r="H55" s="10">
        <f t="shared" si="12"/>
        <v>0</v>
      </c>
    </row>
    <row r="56" spans="1:8" x14ac:dyDescent="0.25">
      <c r="A56" s="8" t="str">
        <f t="shared" si="5"/>
        <v>Chilli</v>
      </c>
      <c r="B56" s="10">
        <f t="shared" si="6"/>
        <v>0</v>
      </c>
      <c r="C56" s="10">
        <f t="shared" si="7"/>
        <v>0</v>
      </c>
      <c r="D56" s="10">
        <f t="shared" si="8"/>
        <v>0</v>
      </c>
      <c r="E56" s="10">
        <f t="shared" si="9"/>
        <v>0</v>
      </c>
      <c r="F56" s="10">
        <f t="shared" si="10"/>
        <v>0</v>
      </c>
      <c r="G56" s="10">
        <f t="shared" si="11"/>
        <v>0</v>
      </c>
      <c r="H56" s="10">
        <f t="shared" si="12"/>
        <v>0</v>
      </c>
    </row>
    <row r="57" spans="1:8" x14ac:dyDescent="0.25">
      <c r="A57" s="8" t="str">
        <f t="shared" si="5"/>
        <v>Brinjal</v>
      </c>
      <c r="B57" s="10">
        <f t="shared" si="6"/>
        <v>0</v>
      </c>
      <c r="C57" s="10">
        <f t="shared" si="7"/>
        <v>0</v>
      </c>
      <c r="D57" s="10">
        <f t="shared" si="8"/>
        <v>0</v>
      </c>
      <c r="E57" s="10">
        <f t="shared" si="9"/>
        <v>0</v>
      </c>
      <c r="F57" s="10">
        <f t="shared" si="10"/>
        <v>0</v>
      </c>
      <c r="G57" s="10">
        <f t="shared" si="11"/>
        <v>0</v>
      </c>
      <c r="H57" s="10">
        <f t="shared" si="12"/>
        <v>0</v>
      </c>
    </row>
    <row r="58" spans="1:8" x14ac:dyDescent="0.25">
      <c r="A58" s="8">
        <f t="shared" si="5"/>
        <v>0</v>
      </c>
      <c r="B58" s="10">
        <f t="shared" si="6"/>
        <v>0</v>
      </c>
      <c r="C58" s="10">
        <f t="shared" si="7"/>
        <v>0</v>
      </c>
      <c r="D58" s="10">
        <f t="shared" si="8"/>
        <v>0</v>
      </c>
      <c r="E58" s="10">
        <f t="shared" si="9"/>
        <v>0</v>
      </c>
      <c r="F58" s="10">
        <f t="shared" si="10"/>
        <v>0</v>
      </c>
      <c r="G58" s="10">
        <f t="shared" si="11"/>
        <v>0</v>
      </c>
      <c r="H58" s="10">
        <f t="shared" si="12"/>
        <v>0</v>
      </c>
    </row>
    <row r="59" spans="1:8" x14ac:dyDescent="0.25">
      <c r="A59" s="8">
        <f t="shared" si="5"/>
        <v>0</v>
      </c>
      <c r="B59" s="10">
        <f t="shared" si="6"/>
        <v>0</v>
      </c>
      <c r="C59" s="10">
        <f t="shared" si="7"/>
        <v>0</v>
      </c>
      <c r="D59" s="10">
        <f t="shared" si="8"/>
        <v>0</v>
      </c>
      <c r="E59" s="10">
        <f t="shared" si="9"/>
        <v>0</v>
      </c>
      <c r="F59" s="10">
        <f t="shared" si="10"/>
        <v>0</v>
      </c>
      <c r="G59" s="10">
        <f t="shared" si="11"/>
        <v>0</v>
      </c>
      <c r="H59" s="10">
        <f t="shared" si="12"/>
        <v>0</v>
      </c>
    </row>
    <row r="60" spans="1:8" x14ac:dyDescent="0.25">
      <c r="A60" s="8">
        <f t="shared" si="5"/>
        <v>0</v>
      </c>
      <c r="B60" s="10">
        <f t="shared" si="6"/>
        <v>0</v>
      </c>
      <c r="C60" s="10">
        <f t="shared" si="7"/>
        <v>0</v>
      </c>
      <c r="D60" s="10">
        <f t="shared" si="8"/>
        <v>0</v>
      </c>
      <c r="E60" s="10">
        <f t="shared" si="9"/>
        <v>0</v>
      </c>
      <c r="F60" s="10">
        <f t="shared" si="10"/>
        <v>0</v>
      </c>
      <c r="G60" s="10">
        <f t="shared" si="11"/>
        <v>0</v>
      </c>
      <c r="H60" s="10">
        <f t="shared" si="12"/>
        <v>0</v>
      </c>
    </row>
    <row r="61" spans="1:8" x14ac:dyDescent="0.25">
      <c r="A61" s="8">
        <f t="shared" si="5"/>
        <v>0</v>
      </c>
      <c r="B61" s="10">
        <f t="shared" si="6"/>
        <v>0</v>
      </c>
      <c r="C61" s="10">
        <f t="shared" si="7"/>
        <v>0</v>
      </c>
      <c r="D61" s="10">
        <f t="shared" si="8"/>
        <v>0</v>
      </c>
      <c r="E61" s="10">
        <f t="shared" si="9"/>
        <v>0</v>
      </c>
      <c r="F61" s="10">
        <f t="shared" si="10"/>
        <v>0</v>
      </c>
      <c r="G61" s="10">
        <f t="shared" si="11"/>
        <v>0</v>
      </c>
      <c r="H61" s="10">
        <f t="shared" si="12"/>
        <v>0</v>
      </c>
    </row>
    <row r="62" spans="1:8" x14ac:dyDescent="0.25">
      <c r="A62" s="8" t="str">
        <f t="shared" ref="A62" si="13">A34</f>
        <v>Pomegranate</v>
      </c>
      <c r="B62" s="10">
        <f>B34*$B$41</f>
        <v>0</v>
      </c>
      <c r="C62" s="10">
        <f t="shared" ref="C62:H62" si="14">C34*$B$41</f>
        <v>0</v>
      </c>
      <c r="D62" s="10">
        <f t="shared" si="14"/>
        <v>0</v>
      </c>
      <c r="E62" s="10">
        <f t="shared" si="14"/>
        <v>0</v>
      </c>
      <c r="F62" s="10">
        <f t="shared" si="14"/>
        <v>0</v>
      </c>
      <c r="G62" s="10">
        <f t="shared" si="14"/>
        <v>0</v>
      </c>
      <c r="H62" s="10">
        <f t="shared" si="14"/>
        <v>0</v>
      </c>
    </row>
    <row r="63" spans="1:8" x14ac:dyDescent="0.25">
      <c r="A63" s="8" t="str">
        <f>A35</f>
        <v>Custard Apple</v>
      </c>
      <c r="B63" s="10">
        <f t="shared" ref="B63:H63" si="15">B35*$B$41</f>
        <v>0</v>
      </c>
      <c r="C63" s="10">
        <f t="shared" si="15"/>
        <v>0</v>
      </c>
      <c r="D63" s="10">
        <f t="shared" si="15"/>
        <v>0</v>
      </c>
      <c r="E63" s="10">
        <f t="shared" si="15"/>
        <v>0</v>
      </c>
      <c r="F63" s="10">
        <f t="shared" si="15"/>
        <v>0</v>
      </c>
      <c r="G63" s="10">
        <f t="shared" si="15"/>
        <v>0</v>
      </c>
      <c r="H63" s="10">
        <f t="shared" si="15"/>
        <v>0</v>
      </c>
    </row>
    <row r="64" spans="1:8" x14ac:dyDescent="0.25">
      <c r="A64" s="8" t="str">
        <f>A36</f>
        <v>Guava</v>
      </c>
      <c r="B64" s="10">
        <f t="shared" ref="B64:H65" si="16">B36*$B$41</f>
        <v>0</v>
      </c>
      <c r="C64" s="10">
        <f t="shared" si="16"/>
        <v>0</v>
      </c>
      <c r="D64" s="10">
        <f t="shared" si="16"/>
        <v>0</v>
      </c>
      <c r="E64" s="10">
        <f t="shared" si="16"/>
        <v>0</v>
      </c>
      <c r="F64" s="10">
        <f t="shared" si="16"/>
        <v>0</v>
      </c>
      <c r="G64" s="10">
        <f t="shared" si="16"/>
        <v>0</v>
      </c>
      <c r="H64" s="10">
        <f t="shared" si="16"/>
        <v>0</v>
      </c>
    </row>
    <row r="65" spans="1:8" x14ac:dyDescent="0.25">
      <c r="A65" s="8" t="str">
        <f>A37</f>
        <v>Citrus</v>
      </c>
      <c r="B65" s="10">
        <f t="shared" si="16"/>
        <v>0</v>
      </c>
      <c r="C65" s="10">
        <f t="shared" si="16"/>
        <v>0</v>
      </c>
      <c r="D65" s="10">
        <f t="shared" si="16"/>
        <v>0</v>
      </c>
      <c r="E65" s="10">
        <f t="shared" si="16"/>
        <v>0</v>
      </c>
      <c r="F65" s="10">
        <f t="shared" si="16"/>
        <v>0</v>
      </c>
      <c r="G65" s="10">
        <f t="shared" si="16"/>
        <v>0</v>
      </c>
      <c r="H65" s="10">
        <f t="shared" si="16"/>
        <v>0</v>
      </c>
    </row>
    <row r="66" spans="1:8" x14ac:dyDescent="0.25">
      <c r="A66" s="11" t="s">
        <v>278</v>
      </c>
      <c r="B66" s="8"/>
      <c r="C66" s="8"/>
      <c r="D66" s="8"/>
      <c r="E66" s="8"/>
      <c r="F66" s="8"/>
      <c r="G66" s="8"/>
      <c r="H66" s="8"/>
    </row>
    <row r="67" spans="1:8" x14ac:dyDescent="0.25">
      <c r="A67" s="8" t="str">
        <f>A44</f>
        <v>Onion</v>
      </c>
      <c r="B67" s="69"/>
      <c r="C67" s="69"/>
      <c r="D67" s="69"/>
      <c r="E67" s="69"/>
      <c r="F67" s="69"/>
      <c r="G67" s="69"/>
      <c r="H67" s="69"/>
    </row>
    <row r="68" spans="1:8" x14ac:dyDescent="0.25">
      <c r="A68" s="8"/>
      <c r="B68" s="69"/>
      <c r="C68" s="69"/>
      <c r="D68" s="69"/>
      <c r="E68" s="69"/>
      <c r="F68" s="69"/>
      <c r="G68" s="69"/>
      <c r="H68" s="69"/>
    </row>
    <row r="69" spans="1:8" x14ac:dyDescent="0.25">
      <c r="A69" s="8"/>
      <c r="B69" s="69"/>
      <c r="C69" s="69"/>
      <c r="D69" s="69"/>
      <c r="E69" s="69"/>
      <c r="F69" s="69"/>
      <c r="G69" s="69"/>
      <c r="H69" s="69"/>
    </row>
    <row r="70" spans="1:8" x14ac:dyDescent="0.25">
      <c r="A70" s="8"/>
      <c r="B70" s="69"/>
      <c r="C70" s="69"/>
      <c r="D70" s="69"/>
      <c r="E70" s="69"/>
      <c r="F70" s="69"/>
      <c r="G70" s="69"/>
      <c r="H70" s="69"/>
    </row>
    <row r="71" spans="1:8" x14ac:dyDescent="0.25">
      <c r="A71" s="8" t="str">
        <f>A45</f>
        <v>Tomato</v>
      </c>
      <c r="B71" s="10"/>
      <c r="C71" s="10"/>
      <c r="D71" s="10"/>
      <c r="E71" s="10"/>
      <c r="F71" s="10"/>
      <c r="G71" s="10"/>
      <c r="H71" s="10"/>
    </row>
    <row r="72" spans="1:8" x14ac:dyDescent="0.25">
      <c r="A72" s="8"/>
      <c r="B72" s="10"/>
      <c r="C72" s="10"/>
      <c r="D72" s="10"/>
      <c r="E72" s="10"/>
      <c r="F72" s="10"/>
      <c r="G72" s="10"/>
      <c r="H72" s="10"/>
    </row>
    <row r="73" spans="1:8" x14ac:dyDescent="0.25">
      <c r="A73" s="8"/>
      <c r="B73" s="10"/>
      <c r="C73" s="10"/>
      <c r="D73" s="10"/>
      <c r="E73" s="10"/>
      <c r="F73" s="10"/>
      <c r="G73" s="10"/>
      <c r="H73" s="10"/>
    </row>
    <row r="74" spans="1:8" x14ac:dyDescent="0.25">
      <c r="A74" s="8"/>
      <c r="B74" s="10"/>
      <c r="C74" s="10"/>
      <c r="D74" s="10"/>
      <c r="E74" s="10"/>
      <c r="F74" s="10"/>
      <c r="G74" s="10"/>
      <c r="H74" s="10"/>
    </row>
    <row r="75" spans="1:8" x14ac:dyDescent="0.25">
      <c r="A75" s="8" t="str">
        <f>A46</f>
        <v>Okra</v>
      </c>
      <c r="B75" s="10"/>
      <c r="C75" s="10"/>
      <c r="D75" s="10"/>
      <c r="E75" s="10"/>
      <c r="F75" s="10"/>
      <c r="G75" s="10"/>
      <c r="H75" s="10"/>
    </row>
    <row r="76" spans="1:8" x14ac:dyDescent="0.25">
      <c r="A76" s="8"/>
      <c r="B76" s="10"/>
      <c r="C76" s="10"/>
      <c r="D76" s="10"/>
      <c r="E76" s="10"/>
      <c r="F76" s="10"/>
      <c r="G76" s="10"/>
      <c r="H76" s="10"/>
    </row>
    <row r="77" spans="1:8" x14ac:dyDescent="0.25">
      <c r="A77" s="8"/>
      <c r="B77" s="10"/>
      <c r="C77" s="10"/>
      <c r="D77" s="10"/>
      <c r="E77" s="10"/>
      <c r="F77" s="10"/>
      <c r="G77" s="10"/>
      <c r="H77" s="10"/>
    </row>
    <row r="78" spans="1:8" x14ac:dyDescent="0.25">
      <c r="A78" s="8"/>
      <c r="B78" s="10"/>
      <c r="C78" s="10"/>
      <c r="D78" s="10"/>
      <c r="E78" s="10"/>
      <c r="F78" s="10"/>
      <c r="G78" s="10"/>
      <c r="H78" s="10"/>
    </row>
    <row r="79" spans="1:8" x14ac:dyDescent="0.25">
      <c r="A79" s="8" t="str">
        <f>A47</f>
        <v>Chilli</v>
      </c>
      <c r="B79" s="10"/>
      <c r="C79" s="10"/>
      <c r="D79" s="10"/>
      <c r="E79" s="10"/>
      <c r="F79" s="10"/>
      <c r="G79" s="10"/>
      <c r="H79" s="10"/>
    </row>
    <row r="80" spans="1:8" x14ac:dyDescent="0.25">
      <c r="A80" s="8"/>
      <c r="B80" s="10"/>
      <c r="C80" s="10"/>
      <c r="D80" s="10"/>
      <c r="E80" s="10"/>
      <c r="F80" s="10"/>
      <c r="G80" s="10"/>
      <c r="H80" s="10"/>
    </row>
    <row r="81" spans="1:8" x14ac:dyDescent="0.25">
      <c r="A81" s="8"/>
      <c r="B81" s="10"/>
      <c r="C81" s="10"/>
      <c r="D81" s="10"/>
      <c r="E81" s="10"/>
      <c r="F81" s="10"/>
      <c r="G81" s="10"/>
      <c r="H81" s="10"/>
    </row>
    <row r="82" spans="1:8" x14ac:dyDescent="0.25">
      <c r="A82" s="8"/>
      <c r="B82" s="10"/>
      <c r="C82" s="10"/>
      <c r="D82" s="10"/>
      <c r="E82" s="10"/>
      <c r="F82" s="10"/>
      <c r="G82" s="10"/>
      <c r="H82" s="10"/>
    </row>
    <row r="83" spans="1:8" x14ac:dyDescent="0.25">
      <c r="A83" s="8" t="str">
        <f>A48</f>
        <v>Potato</v>
      </c>
      <c r="B83" s="10"/>
      <c r="C83" s="10"/>
      <c r="D83" s="10"/>
      <c r="E83" s="10"/>
      <c r="F83" s="10"/>
      <c r="G83" s="10"/>
      <c r="H83" s="10"/>
    </row>
    <row r="84" spans="1:8" x14ac:dyDescent="0.25">
      <c r="A84" s="8"/>
      <c r="B84" s="10"/>
      <c r="C84" s="10"/>
      <c r="D84" s="10"/>
      <c r="E84" s="10"/>
      <c r="F84" s="10"/>
      <c r="G84" s="10"/>
      <c r="H84" s="10"/>
    </row>
    <row r="85" spans="1:8" x14ac:dyDescent="0.25">
      <c r="A85" s="8"/>
      <c r="B85" s="10"/>
      <c r="C85" s="10"/>
      <c r="D85" s="10"/>
      <c r="E85" s="10"/>
      <c r="F85" s="10"/>
      <c r="G85" s="10"/>
      <c r="H85" s="10"/>
    </row>
    <row r="86" spans="1:8" x14ac:dyDescent="0.25">
      <c r="A86" s="8"/>
      <c r="B86" s="10"/>
      <c r="C86" s="10"/>
      <c r="D86" s="10"/>
      <c r="E86" s="10"/>
      <c r="F86" s="10"/>
      <c r="G86" s="10"/>
      <c r="H86" s="10"/>
    </row>
    <row r="87" spans="1:8" x14ac:dyDescent="0.25">
      <c r="A87" s="8">
        <f>A49</f>
        <v>0</v>
      </c>
      <c r="B87" s="10"/>
      <c r="C87" s="10"/>
      <c r="D87" s="10"/>
      <c r="E87" s="10"/>
      <c r="F87" s="10"/>
      <c r="G87" s="10"/>
      <c r="H87" s="10"/>
    </row>
    <row r="88" spans="1:8" x14ac:dyDescent="0.25">
      <c r="A88" s="8"/>
      <c r="B88" s="10"/>
      <c r="C88" s="10"/>
      <c r="D88" s="10"/>
      <c r="E88" s="10"/>
      <c r="F88" s="10"/>
      <c r="G88" s="10"/>
      <c r="H88" s="10"/>
    </row>
    <row r="89" spans="1:8" x14ac:dyDescent="0.25">
      <c r="A89" s="8"/>
      <c r="B89" s="10"/>
      <c r="C89" s="10"/>
      <c r="D89" s="10"/>
      <c r="E89" s="10"/>
      <c r="F89" s="10"/>
      <c r="G89" s="10"/>
      <c r="H89" s="10"/>
    </row>
    <row r="90" spans="1:8" x14ac:dyDescent="0.25">
      <c r="A90" s="8"/>
      <c r="B90" s="10"/>
      <c r="C90" s="10"/>
      <c r="D90" s="10"/>
      <c r="E90" s="10"/>
      <c r="F90" s="10"/>
      <c r="G90" s="10"/>
      <c r="H90" s="10"/>
    </row>
    <row r="91" spans="1:8" x14ac:dyDescent="0.25">
      <c r="A91" s="8">
        <f>A50</f>
        <v>0</v>
      </c>
      <c r="B91" s="10"/>
      <c r="C91" s="10"/>
      <c r="D91" s="10"/>
      <c r="E91" s="10"/>
      <c r="F91" s="10"/>
      <c r="G91" s="10"/>
      <c r="H91" s="10"/>
    </row>
    <row r="92" spans="1:8" x14ac:dyDescent="0.25">
      <c r="A92" s="8"/>
      <c r="B92" s="10"/>
      <c r="C92" s="10"/>
      <c r="D92" s="10"/>
      <c r="E92" s="10"/>
      <c r="F92" s="10"/>
      <c r="G92" s="10"/>
      <c r="H92" s="10"/>
    </row>
    <row r="93" spans="1:8" x14ac:dyDescent="0.25">
      <c r="A93" s="8"/>
      <c r="B93" s="10"/>
      <c r="C93" s="10"/>
      <c r="D93" s="10"/>
      <c r="E93" s="10"/>
      <c r="F93" s="10"/>
      <c r="G93" s="10"/>
      <c r="H93" s="10"/>
    </row>
    <row r="94" spans="1:8" x14ac:dyDescent="0.25">
      <c r="A94" s="8">
        <f>A51</f>
        <v>0</v>
      </c>
      <c r="B94" s="10"/>
      <c r="C94" s="10"/>
      <c r="D94" s="10"/>
      <c r="E94" s="10"/>
      <c r="F94" s="10"/>
      <c r="G94" s="10"/>
      <c r="H94" s="10"/>
    </row>
    <row r="95" spans="1:8" x14ac:dyDescent="0.25">
      <c r="A95" s="8"/>
      <c r="B95" s="10"/>
      <c r="C95" s="10"/>
      <c r="D95" s="10"/>
      <c r="E95" s="10"/>
      <c r="F95" s="10"/>
      <c r="G95" s="10"/>
      <c r="H95" s="10"/>
    </row>
    <row r="96" spans="1:8" x14ac:dyDescent="0.25">
      <c r="A96" s="8"/>
      <c r="B96" s="10"/>
      <c r="C96" s="10"/>
      <c r="D96" s="10"/>
      <c r="E96" s="10"/>
      <c r="F96" s="10"/>
      <c r="G96" s="10"/>
      <c r="H96" s="10"/>
    </row>
    <row r="97" spans="1:8" x14ac:dyDescent="0.25">
      <c r="A97" s="8"/>
      <c r="B97" s="10"/>
      <c r="C97" s="10"/>
      <c r="D97" s="10"/>
      <c r="E97" s="10"/>
      <c r="F97" s="10"/>
      <c r="G97" s="10"/>
      <c r="H97" s="10"/>
    </row>
    <row r="98" spans="1:8" x14ac:dyDescent="0.25">
      <c r="A98" s="8">
        <f>A52</f>
        <v>0</v>
      </c>
      <c r="B98" s="10"/>
      <c r="C98" s="10"/>
      <c r="D98" s="10"/>
      <c r="E98" s="10"/>
      <c r="F98" s="10"/>
      <c r="G98" s="10"/>
      <c r="H98" s="10"/>
    </row>
    <row r="99" spans="1:8" x14ac:dyDescent="0.25">
      <c r="A99" s="8"/>
      <c r="B99" s="10"/>
      <c r="C99" s="10"/>
      <c r="D99" s="10"/>
      <c r="E99" s="10"/>
      <c r="F99" s="10"/>
      <c r="G99" s="10"/>
      <c r="H99" s="10"/>
    </row>
    <row r="100" spans="1:8" x14ac:dyDescent="0.25">
      <c r="A100" s="8"/>
      <c r="B100" s="10"/>
      <c r="C100" s="10"/>
      <c r="D100" s="10"/>
      <c r="E100" s="10"/>
      <c r="F100" s="10"/>
      <c r="G100" s="10"/>
      <c r="H100" s="10"/>
    </row>
    <row r="101" spans="1:8" x14ac:dyDescent="0.25">
      <c r="A101" s="8"/>
      <c r="B101" s="10"/>
      <c r="C101" s="10"/>
      <c r="D101" s="10"/>
      <c r="E101" s="10"/>
      <c r="F101" s="10"/>
      <c r="G101" s="10"/>
      <c r="H101" s="10"/>
    </row>
    <row r="102" spans="1:8" x14ac:dyDescent="0.25">
      <c r="A102" s="8" t="str">
        <f>A53</f>
        <v>Onion</v>
      </c>
      <c r="B102" s="10"/>
      <c r="C102" s="10"/>
      <c r="D102" s="10"/>
      <c r="E102" s="10"/>
      <c r="F102" s="10"/>
      <c r="G102" s="10"/>
      <c r="H102" s="10"/>
    </row>
    <row r="103" spans="1:8" x14ac:dyDescent="0.25">
      <c r="A103" s="8"/>
      <c r="B103" s="10"/>
      <c r="C103" s="10"/>
      <c r="D103" s="10"/>
      <c r="E103" s="10"/>
      <c r="F103" s="10"/>
      <c r="G103" s="10"/>
      <c r="H103" s="10"/>
    </row>
    <row r="104" spans="1:8" x14ac:dyDescent="0.25">
      <c r="A104" s="8"/>
      <c r="B104" s="10"/>
      <c r="C104" s="10"/>
      <c r="D104" s="10"/>
      <c r="E104" s="10"/>
      <c r="F104" s="10"/>
      <c r="G104" s="10"/>
      <c r="H104" s="10"/>
    </row>
    <row r="105" spans="1:8" x14ac:dyDescent="0.25">
      <c r="A105" s="8"/>
      <c r="B105" s="10"/>
      <c r="C105" s="10"/>
      <c r="D105" s="10"/>
      <c r="E105" s="10"/>
      <c r="F105" s="10"/>
      <c r="G105" s="10"/>
      <c r="H105" s="10"/>
    </row>
    <row r="106" spans="1:8" x14ac:dyDescent="0.25">
      <c r="A106" s="8" t="str">
        <f>A54</f>
        <v>Tomato</v>
      </c>
      <c r="B106" s="10"/>
      <c r="C106" s="10"/>
      <c r="D106" s="10"/>
      <c r="E106" s="10"/>
      <c r="F106" s="10"/>
      <c r="G106" s="10"/>
      <c r="H106" s="10"/>
    </row>
    <row r="107" spans="1:8" x14ac:dyDescent="0.25">
      <c r="A107" s="8"/>
      <c r="B107" s="10"/>
      <c r="C107" s="10"/>
      <c r="D107" s="10"/>
      <c r="E107" s="10"/>
      <c r="F107" s="10"/>
      <c r="G107" s="10"/>
      <c r="H107" s="10"/>
    </row>
    <row r="108" spans="1:8" x14ac:dyDescent="0.25">
      <c r="A108" s="8"/>
      <c r="B108" s="10"/>
      <c r="C108" s="10"/>
      <c r="D108" s="10"/>
      <c r="E108" s="10"/>
      <c r="F108" s="10"/>
      <c r="G108" s="10"/>
      <c r="H108" s="10"/>
    </row>
    <row r="109" spans="1:8" x14ac:dyDescent="0.25">
      <c r="A109" s="8"/>
      <c r="B109" s="10"/>
      <c r="C109" s="10"/>
      <c r="D109" s="10"/>
      <c r="E109" s="10"/>
      <c r="F109" s="10"/>
      <c r="G109" s="10"/>
      <c r="H109" s="10"/>
    </row>
    <row r="110" spans="1:8" x14ac:dyDescent="0.25">
      <c r="A110" s="8" t="str">
        <f>A55</f>
        <v>Okra</v>
      </c>
      <c r="B110" s="10"/>
      <c r="C110" s="10"/>
      <c r="D110" s="10"/>
      <c r="E110" s="10"/>
      <c r="F110" s="10"/>
      <c r="G110" s="10"/>
      <c r="H110" s="10"/>
    </row>
    <row r="111" spans="1:8" x14ac:dyDescent="0.25">
      <c r="A111" s="8"/>
      <c r="B111" s="10"/>
      <c r="C111" s="10"/>
      <c r="D111" s="10"/>
      <c r="E111" s="10"/>
      <c r="F111" s="10"/>
      <c r="G111" s="10"/>
      <c r="H111" s="10"/>
    </row>
    <row r="112" spans="1:8" x14ac:dyDescent="0.25">
      <c r="A112" s="8"/>
      <c r="B112" s="10"/>
      <c r="C112" s="10"/>
      <c r="D112" s="10"/>
      <c r="E112" s="10"/>
      <c r="F112" s="10"/>
      <c r="G112" s="10"/>
      <c r="H112" s="10"/>
    </row>
    <row r="113" spans="1:8" x14ac:dyDescent="0.25">
      <c r="A113" s="8"/>
      <c r="B113" s="10"/>
      <c r="C113" s="10"/>
      <c r="D113" s="10"/>
      <c r="E113" s="10"/>
      <c r="F113" s="10"/>
      <c r="G113" s="10"/>
      <c r="H113" s="10"/>
    </row>
    <row r="114" spans="1:8" x14ac:dyDescent="0.25">
      <c r="A114" s="8" t="str">
        <f>A56</f>
        <v>Chilli</v>
      </c>
      <c r="B114" s="10"/>
      <c r="C114" s="10"/>
      <c r="D114" s="10"/>
      <c r="E114" s="10"/>
      <c r="F114" s="10"/>
      <c r="G114" s="10"/>
      <c r="H114" s="10"/>
    </row>
    <row r="115" spans="1:8" x14ac:dyDescent="0.25">
      <c r="A115" s="8"/>
      <c r="B115" s="10"/>
      <c r="C115" s="10"/>
      <c r="D115" s="10"/>
      <c r="E115" s="10"/>
      <c r="F115" s="10"/>
      <c r="G115" s="10"/>
      <c r="H115" s="10"/>
    </row>
    <row r="116" spans="1:8" x14ac:dyDescent="0.25">
      <c r="A116" s="8"/>
      <c r="B116" s="10"/>
      <c r="C116" s="10"/>
      <c r="D116" s="10"/>
      <c r="E116" s="10"/>
      <c r="F116" s="10"/>
      <c r="G116" s="10"/>
      <c r="H116" s="10"/>
    </row>
    <row r="117" spans="1:8" x14ac:dyDescent="0.25">
      <c r="A117" s="8"/>
      <c r="B117" s="10"/>
      <c r="C117" s="10"/>
      <c r="D117" s="10"/>
      <c r="E117" s="10"/>
      <c r="F117" s="10"/>
      <c r="G117" s="10"/>
      <c r="H117" s="10"/>
    </row>
    <row r="118" spans="1:8" x14ac:dyDescent="0.25">
      <c r="A118" s="11" t="str">
        <f t="shared" ref="A118:A123" si="17">A57</f>
        <v>Brinjal</v>
      </c>
      <c r="B118" s="10"/>
      <c r="C118" s="10"/>
      <c r="D118" s="10"/>
      <c r="E118" s="10"/>
      <c r="F118" s="10"/>
      <c r="G118" s="10"/>
      <c r="H118" s="10"/>
    </row>
    <row r="119" spans="1:8" x14ac:dyDescent="0.25">
      <c r="A119" s="8">
        <f t="shared" si="17"/>
        <v>0</v>
      </c>
      <c r="B119" s="10"/>
      <c r="C119" s="10"/>
      <c r="D119" s="10"/>
      <c r="E119" s="10"/>
      <c r="F119" s="10"/>
      <c r="G119" s="10"/>
      <c r="H119" s="10"/>
    </row>
    <row r="120" spans="1:8" x14ac:dyDescent="0.25">
      <c r="A120" s="8">
        <f t="shared" si="17"/>
        <v>0</v>
      </c>
      <c r="B120" s="10"/>
      <c r="C120" s="10"/>
      <c r="D120" s="10"/>
      <c r="E120" s="10"/>
      <c r="F120" s="10"/>
      <c r="G120" s="10"/>
      <c r="H120" s="10"/>
    </row>
    <row r="121" spans="1:8" x14ac:dyDescent="0.25">
      <c r="A121" s="8">
        <f t="shared" si="17"/>
        <v>0</v>
      </c>
      <c r="B121" s="10"/>
      <c r="C121" s="10"/>
      <c r="D121" s="10"/>
      <c r="E121" s="10"/>
      <c r="F121" s="10"/>
      <c r="G121" s="10"/>
      <c r="H121" s="10"/>
    </row>
    <row r="122" spans="1:8" x14ac:dyDescent="0.25">
      <c r="A122" s="8">
        <f t="shared" si="17"/>
        <v>0</v>
      </c>
      <c r="B122" s="10"/>
      <c r="C122" s="10"/>
      <c r="D122" s="10"/>
      <c r="E122" s="10"/>
      <c r="F122" s="10"/>
      <c r="G122" s="10"/>
      <c r="H122" s="10"/>
    </row>
    <row r="123" spans="1:8" x14ac:dyDescent="0.25">
      <c r="A123" s="11" t="str">
        <f t="shared" si="17"/>
        <v>Pomegranate</v>
      </c>
      <c r="B123" s="10"/>
      <c r="C123" s="10"/>
      <c r="D123" s="10"/>
      <c r="E123" s="10"/>
      <c r="F123" s="10"/>
      <c r="G123" s="10"/>
      <c r="H123" s="10"/>
    </row>
    <row r="124" spans="1:8" x14ac:dyDescent="0.25">
      <c r="A124" s="8" t="s">
        <v>516</v>
      </c>
      <c r="B124" s="10">
        <f>(B$62*50%)*0.7</f>
        <v>0</v>
      </c>
      <c r="C124" s="10">
        <f>(C$62*50%)*0.7</f>
        <v>0</v>
      </c>
      <c r="D124" s="10">
        <f t="shared" ref="D124:H126" si="18">(D$62*50%)*0.7</f>
        <v>0</v>
      </c>
      <c r="E124" s="10">
        <f t="shared" si="18"/>
        <v>0</v>
      </c>
      <c r="F124" s="10">
        <f t="shared" si="18"/>
        <v>0</v>
      </c>
      <c r="G124" s="10">
        <f t="shared" si="18"/>
        <v>0</v>
      </c>
      <c r="H124" s="10">
        <f t="shared" si="18"/>
        <v>0</v>
      </c>
    </row>
    <row r="125" spans="1:8" x14ac:dyDescent="0.25">
      <c r="A125" s="8" t="s">
        <v>514</v>
      </c>
      <c r="B125" s="10">
        <f>(B$62*50%)*0.7*2</f>
        <v>0</v>
      </c>
      <c r="C125" s="10">
        <f>(C$62*50%)*0.7</f>
        <v>0</v>
      </c>
      <c r="D125" s="10">
        <f t="shared" si="18"/>
        <v>0</v>
      </c>
      <c r="E125" s="10">
        <f t="shared" si="18"/>
        <v>0</v>
      </c>
      <c r="F125" s="10">
        <f t="shared" si="18"/>
        <v>0</v>
      </c>
      <c r="G125" s="10">
        <f t="shared" si="18"/>
        <v>0</v>
      </c>
      <c r="H125" s="10">
        <f t="shared" si="18"/>
        <v>0</v>
      </c>
    </row>
    <row r="126" spans="1:8" x14ac:dyDescent="0.25">
      <c r="A126" s="8" t="s">
        <v>515</v>
      </c>
      <c r="B126" s="10">
        <f>(B$62*0.3)*0.2</f>
        <v>0</v>
      </c>
      <c r="C126" s="10">
        <f>(C$62*50%)*0.7</f>
        <v>0</v>
      </c>
      <c r="D126" s="10">
        <f t="shared" si="18"/>
        <v>0</v>
      </c>
      <c r="E126" s="10">
        <f t="shared" si="18"/>
        <v>0</v>
      </c>
      <c r="F126" s="10">
        <f t="shared" si="18"/>
        <v>0</v>
      </c>
      <c r="G126" s="10">
        <f t="shared" si="18"/>
        <v>0</v>
      </c>
      <c r="H126" s="10">
        <f t="shared" si="18"/>
        <v>0</v>
      </c>
    </row>
    <row r="127" spans="1:8" x14ac:dyDescent="0.25">
      <c r="A127" s="8" t="str">
        <f t="shared" ref="A127" si="19">A63</f>
        <v>Custard Apple</v>
      </c>
      <c r="B127" s="10"/>
      <c r="C127" s="10"/>
      <c r="D127" s="10"/>
      <c r="E127" s="10"/>
      <c r="F127" s="10"/>
      <c r="G127" s="10"/>
      <c r="H127" s="10"/>
    </row>
    <row r="128" spans="1:8" x14ac:dyDescent="0.25">
      <c r="A128" s="8"/>
      <c r="B128" s="10"/>
      <c r="C128" s="10"/>
      <c r="D128" s="10"/>
      <c r="E128" s="10"/>
      <c r="F128" s="10"/>
      <c r="G128" s="10"/>
      <c r="H128" s="10"/>
    </row>
    <row r="129" spans="1:8" x14ac:dyDescent="0.25">
      <c r="A129" s="8"/>
      <c r="B129" s="10"/>
      <c r="C129" s="10"/>
      <c r="D129" s="10"/>
      <c r="E129" s="10"/>
      <c r="F129" s="10"/>
      <c r="G129" s="10"/>
      <c r="H129" s="10"/>
    </row>
    <row r="130" spans="1:8" x14ac:dyDescent="0.25">
      <c r="A130" s="8"/>
      <c r="B130" s="10"/>
      <c r="C130" s="10"/>
      <c r="D130" s="10"/>
      <c r="E130" s="10"/>
      <c r="F130" s="10"/>
      <c r="G130" s="10"/>
      <c r="H130" s="10"/>
    </row>
    <row r="131" spans="1:8" x14ac:dyDescent="0.25">
      <c r="A131" s="8" t="str">
        <f>A64</f>
        <v>Guava</v>
      </c>
      <c r="B131" s="10"/>
      <c r="C131" s="10"/>
      <c r="D131" s="10"/>
      <c r="E131" s="10"/>
      <c r="F131" s="10"/>
      <c r="G131" s="10"/>
      <c r="H131" s="10"/>
    </row>
    <row r="132" spans="1:8" x14ac:dyDescent="0.25">
      <c r="A132" s="8"/>
      <c r="B132" s="10"/>
      <c r="C132" s="10"/>
      <c r="D132" s="10"/>
      <c r="E132" s="10"/>
      <c r="F132" s="10"/>
      <c r="G132" s="10"/>
      <c r="H132" s="10"/>
    </row>
    <row r="133" spans="1:8" x14ac:dyDescent="0.25">
      <c r="A133" s="8"/>
      <c r="B133" s="10"/>
      <c r="C133" s="10"/>
      <c r="D133" s="10"/>
      <c r="E133" s="10"/>
      <c r="F133" s="10"/>
      <c r="G133" s="10"/>
      <c r="H133" s="10"/>
    </row>
    <row r="134" spans="1:8" x14ac:dyDescent="0.25">
      <c r="A134" s="8"/>
      <c r="B134" s="10"/>
      <c r="C134" s="10"/>
      <c r="D134" s="10"/>
      <c r="E134" s="10"/>
      <c r="F134" s="10"/>
      <c r="G134" s="10"/>
      <c r="H134" s="10"/>
    </row>
    <row r="135" spans="1:8" x14ac:dyDescent="0.25">
      <c r="A135" s="8" t="str">
        <f>A65</f>
        <v>Citrus</v>
      </c>
      <c r="B135" s="10"/>
      <c r="C135" s="10"/>
      <c r="D135" s="10"/>
      <c r="E135" s="10"/>
      <c r="F135" s="10"/>
      <c r="G135" s="10"/>
      <c r="H135" s="10"/>
    </row>
    <row r="136" spans="1:8" x14ac:dyDescent="0.25">
      <c r="A136" s="8"/>
      <c r="B136" s="10"/>
      <c r="C136" s="10"/>
      <c r="D136" s="10"/>
      <c r="E136" s="10"/>
      <c r="F136" s="10"/>
      <c r="G136" s="10"/>
      <c r="H136" s="10"/>
    </row>
    <row r="137" spans="1:8" x14ac:dyDescent="0.25">
      <c r="A137" s="8"/>
      <c r="B137" s="10"/>
      <c r="C137" s="10"/>
      <c r="D137" s="10"/>
      <c r="E137" s="10"/>
      <c r="F137" s="10"/>
      <c r="G137" s="10"/>
      <c r="H137" s="10"/>
    </row>
    <row r="138" spans="1:8" x14ac:dyDescent="0.25">
      <c r="A138" s="8"/>
      <c r="B138" s="10"/>
      <c r="C138" s="10"/>
      <c r="D138" s="10"/>
      <c r="E138" s="10"/>
      <c r="F138" s="10"/>
      <c r="G138" s="10"/>
      <c r="H138" s="10"/>
    </row>
    <row r="139" spans="1:8" x14ac:dyDescent="0.25">
      <c r="A139" s="70"/>
      <c r="B139" s="71"/>
      <c r="C139" s="71"/>
      <c r="D139" s="71"/>
      <c r="E139" s="71"/>
      <c r="F139" s="71"/>
      <c r="G139" s="71"/>
      <c r="H139" s="71"/>
    </row>
    <row r="140" spans="1:8" x14ac:dyDescent="0.25">
      <c r="A140" s="64" t="s">
        <v>438</v>
      </c>
    </row>
    <row r="141" spans="1:8" x14ac:dyDescent="0.25">
      <c r="A141" t="s">
        <v>519</v>
      </c>
      <c r="B141" s="20">
        <f t="shared" ref="B141:C143" si="20">(B124*100)</f>
        <v>0</v>
      </c>
      <c r="C141" s="20">
        <f t="shared" si="20"/>
        <v>0</v>
      </c>
      <c r="D141" s="20">
        <f t="shared" ref="D141:H141" si="21">(D124*100)</f>
        <v>0</v>
      </c>
      <c r="E141" s="20">
        <f t="shared" si="21"/>
        <v>0</v>
      </c>
      <c r="F141" s="20">
        <f t="shared" si="21"/>
        <v>0</v>
      </c>
      <c r="G141" s="20">
        <f t="shared" si="21"/>
        <v>0</v>
      </c>
      <c r="H141" s="20">
        <f t="shared" si="21"/>
        <v>0</v>
      </c>
    </row>
    <row r="142" spans="1:8" x14ac:dyDescent="0.25">
      <c r="A142" t="s">
        <v>520</v>
      </c>
      <c r="B142" s="20">
        <f t="shared" si="20"/>
        <v>0</v>
      </c>
      <c r="C142" s="20">
        <f t="shared" si="20"/>
        <v>0</v>
      </c>
      <c r="D142" s="20">
        <f t="shared" ref="D142:H142" si="22">(D125*100)</f>
        <v>0</v>
      </c>
      <c r="E142" s="20">
        <f t="shared" si="22"/>
        <v>0</v>
      </c>
      <c r="F142" s="20">
        <f t="shared" si="22"/>
        <v>0</v>
      </c>
      <c r="G142" s="20">
        <f t="shared" si="22"/>
        <v>0</v>
      </c>
      <c r="H142" s="20">
        <f t="shared" si="22"/>
        <v>0</v>
      </c>
    </row>
    <row r="143" spans="1:8" x14ac:dyDescent="0.25">
      <c r="A143" t="s">
        <v>521</v>
      </c>
      <c r="B143" s="20">
        <f t="shared" si="20"/>
        <v>0</v>
      </c>
      <c r="C143" s="20">
        <f t="shared" si="20"/>
        <v>0</v>
      </c>
      <c r="D143" s="20">
        <f t="shared" ref="D143:H143" si="23">(D126*100)</f>
        <v>0</v>
      </c>
      <c r="E143" s="20">
        <f t="shared" si="23"/>
        <v>0</v>
      </c>
      <c r="F143" s="20">
        <f t="shared" si="23"/>
        <v>0</v>
      </c>
      <c r="G143" s="20">
        <f t="shared" si="23"/>
        <v>0</v>
      </c>
      <c r="H143" s="20">
        <f t="shared" si="23"/>
        <v>0</v>
      </c>
    </row>
    <row r="145" spans="1:10" x14ac:dyDescent="0.25">
      <c r="B145" s="20"/>
      <c r="C145" s="20"/>
    </row>
    <row r="146" spans="1:10" x14ac:dyDescent="0.25">
      <c r="B146" s="20"/>
      <c r="C146" s="20"/>
      <c r="D146" s="20"/>
    </row>
    <row r="147" spans="1:10" ht="18.75" x14ac:dyDescent="0.3">
      <c r="A147" s="547" t="s">
        <v>592</v>
      </c>
      <c r="B147" s="547"/>
      <c r="C147" s="547"/>
      <c r="D147" s="547"/>
      <c r="E147" s="547"/>
      <c r="F147" s="547"/>
      <c r="G147" s="547"/>
      <c r="H147" s="547"/>
      <c r="I147" s="547"/>
      <c r="J147" s="547"/>
    </row>
    <row r="148" spans="1:10" x14ac:dyDescent="0.25">
      <c r="A148" s="99"/>
      <c r="B148" s="99"/>
      <c r="C148" s="99"/>
      <c r="D148" s="99"/>
      <c r="E148" s="99"/>
      <c r="F148" s="99"/>
      <c r="G148" s="99"/>
      <c r="H148" s="99"/>
    </row>
    <row r="149" spans="1:10" x14ac:dyDescent="0.2">
      <c r="A149" s="100"/>
      <c r="B149" s="100"/>
      <c r="C149" s="100"/>
      <c r="D149" s="74">
        <v>1</v>
      </c>
      <c r="E149" s="75">
        <f>(D149*5%)+D149</f>
        <v>1.05</v>
      </c>
      <c r="F149" s="75">
        <f t="shared" ref="F149:J149" si="24">(E149*5%)+E149</f>
        <v>1.1025</v>
      </c>
      <c r="G149" s="75">
        <f t="shared" si="24"/>
        <v>1.1576250000000001</v>
      </c>
      <c r="H149" s="75">
        <f t="shared" si="24"/>
        <v>1.2155062500000002</v>
      </c>
      <c r="I149" s="75">
        <f t="shared" si="24"/>
        <v>1.2762815625000004</v>
      </c>
      <c r="J149" s="75">
        <f t="shared" si="24"/>
        <v>1.3400956406250004</v>
      </c>
    </row>
    <row r="150" spans="1:10" x14ac:dyDescent="0.25">
      <c r="A150" s="3"/>
      <c r="B150" s="3"/>
      <c r="C150" s="3"/>
      <c r="D150" s="3"/>
      <c r="E150" s="3"/>
      <c r="F150" s="3"/>
      <c r="G150" s="3"/>
      <c r="H150" s="3"/>
      <c r="I150" s="3"/>
      <c r="J150" s="3"/>
    </row>
    <row r="151" spans="1:10" x14ac:dyDescent="0.2">
      <c r="A151" s="6" t="s">
        <v>0</v>
      </c>
      <c r="B151" s="6" t="s">
        <v>131</v>
      </c>
      <c r="C151" s="6" t="s">
        <v>151</v>
      </c>
      <c r="D151" s="7" t="s">
        <v>2</v>
      </c>
      <c r="E151" s="7" t="s">
        <v>3</v>
      </c>
      <c r="F151" s="7" t="s">
        <v>4</v>
      </c>
      <c r="G151" s="7" t="s">
        <v>5</v>
      </c>
      <c r="H151" s="7" t="s">
        <v>6</v>
      </c>
      <c r="I151" s="7" t="s">
        <v>168</v>
      </c>
      <c r="J151" s="7" t="s">
        <v>167</v>
      </c>
    </row>
    <row r="152" spans="1:10" x14ac:dyDescent="0.25">
      <c r="A152" s="8"/>
      <c r="B152" s="8"/>
      <c r="C152" s="8"/>
      <c r="D152" s="8"/>
      <c r="E152" s="8"/>
      <c r="F152" s="8"/>
      <c r="G152" s="8"/>
      <c r="H152" s="8"/>
      <c r="I152" s="8"/>
      <c r="J152" s="8"/>
    </row>
    <row r="153" spans="1:10" x14ac:dyDescent="0.25">
      <c r="A153" s="11" t="s">
        <v>126</v>
      </c>
      <c r="B153" s="11"/>
      <c r="C153" s="11"/>
      <c r="D153" s="24"/>
      <c r="E153" s="24"/>
      <c r="F153" s="24"/>
      <c r="G153" s="24"/>
      <c r="H153" s="24"/>
      <c r="I153" s="8"/>
      <c r="J153" s="8"/>
    </row>
    <row r="154" spans="1:10" x14ac:dyDescent="0.25">
      <c r="A154" s="8" t="str">
        <f>A124</f>
        <v>Pomegranate Arils</v>
      </c>
      <c r="B154" s="1" t="s">
        <v>518</v>
      </c>
      <c r="C154" s="1">
        <v>150</v>
      </c>
      <c r="D154" s="10">
        <f>(B141*(1-'5.Closing Stock &amp; W Capital'!$D$18)*$C154*D$149)</f>
        <v>0</v>
      </c>
      <c r="E154" s="10">
        <f>(((C141*(1-'5.Closing Stock &amp; W Capital'!$D$18))+(B141*'5.Closing Stock &amp; W Capital'!$D$18))*$C154*E$149)</f>
        <v>0</v>
      </c>
      <c r="F154" s="10">
        <f>(((D141*(1-'5.Closing Stock &amp; W Capital'!$D$18))+(C141*'5.Closing Stock &amp; W Capital'!$D$18))*$C154*F$149)</f>
        <v>0</v>
      </c>
      <c r="G154" s="10">
        <f>(((E141*(1-'5.Closing Stock &amp; W Capital'!$D$18))+(D141*'5.Closing Stock &amp; W Capital'!$D$18))*$C154*G$149)</f>
        <v>0</v>
      </c>
      <c r="H154" s="10">
        <f>(((F141*(1-'5.Closing Stock &amp; W Capital'!$D$18))+(E141*'5.Closing Stock &amp; W Capital'!$D$18))*$C154*H$149)</f>
        <v>0</v>
      </c>
      <c r="I154" s="10">
        <f>(((G141*(1-'5.Closing Stock &amp; W Capital'!$D$18))+(F141*'5.Closing Stock &amp; W Capital'!$D$18))*$C154*I$149)</f>
        <v>0</v>
      </c>
      <c r="J154" s="10">
        <f>(((H141*(1-'5.Closing Stock &amp; W Capital'!$D$18))+(G141*'5.Closing Stock &amp; W Capital'!$D$18))*$C154*J$149)</f>
        <v>0</v>
      </c>
    </row>
    <row r="155" spans="1:10" x14ac:dyDescent="0.25">
      <c r="A155" s="8" t="str">
        <f>A125</f>
        <v>Pomegranate Juice</v>
      </c>
      <c r="B155" s="1" t="s">
        <v>517</v>
      </c>
      <c r="C155" s="1">
        <v>40</v>
      </c>
      <c r="D155" s="10">
        <f>(B142*(1-'5.Closing Stock &amp; W Capital'!$D$18)*$C155*D$149)</f>
        <v>0</v>
      </c>
      <c r="E155" s="10">
        <f>(((C142*(1-'5.Closing Stock &amp; W Capital'!$D$18))+(B142*'5.Closing Stock &amp; W Capital'!$D$18))*$C155*E$149)</f>
        <v>0</v>
      </c>
      <c r="F155" s="10">
        <f>(((D142*(1-'5.Closing Stock &amp; W Capital'!$D$18))+(C142*'5.Closing Stock &amp; W Capital'!$D$18))*$C155*F$149)</f>
        <v>0</v>
      </c>
      <c r="G155" s="10">
        <f>(((E142*(1-'5.Closing Stock &amp; W Capital'!$D$18))+(D142*'5.Closing Stock &amp; W Capital'!$D$18))*$C155*G$149)</f>
        <v>0</v>
      </c>
      <c r="H155" s="10">
        <f>(((F142*(1-'5.Closing Stock &amp; W Capital'!$D$18))+(E142*'5.Closing Stock &amp; W Capital'!$D$18))*$C155*H$149)</f>
        <v>0</v>
      </c>
      <c r="I155" s="10">
        <f>(((G142*(1-'5.Closing Stock &amp; W Capital'!$D$18))+(F142*'5.Closing Stock &amp; W Capital'!$D$18))*$C155*I$149)</f>
        <v>0</v>
      </c>
      <c r="J155" s="10">
        <f>(((H142*(1-'5.Closing Stock &amp; W Capital'!$D$18))+(G142*'5.Closing Stock &amp; W Capital'!$D$18))*$C155*J$149)</f>
        <v>0</v>
      </c>
    </row>
    <row r="156" spans="1:10" x14ac:dyDescent="0.25">
      <c r="A156" s="8" t="str">
        <f>A126</f>
        <v>Pomegranate Powder</v>
      </c>
      <c r="B156" s="1" t="s">
        <v>351</v>
      </c>
      <c r="C156" s="1">
        <v>50</v>
      </c>
      <c r="D156" s="10">
        <f>(B143*(1-'5.Closing Stock &amp; W Capital'!$D$18)*$C156*D$149)</f>
        <v>0</v>
      </c>
      <c r="E156" s="10">
        <f>(((C143*(1-'5.Closing Stock &amp; W Capital'!$D$18))+(B143*'5.Closing Stock &amp; W Capital'!$D$18))*$C156*E$149)</f>
        <v>0</v>
      </c>
      <c r="F156" s="10">
        <f>(((D143*(1-'5.Closing Stock &amp; W Capital'!$D$18))+(C143*'5.Closing Stock &amp; W Capital'!$D$18))*$C156*F$149)</f>
        <v>0</v>
      </c>
      <c r="G156" s="10">
        <f>(((E143*(1-'5.Closing Stock &amp; W Capital'!$D$18))+(D143*'5.Closing Stock &amp; W Capital'!$D$18))*$C156*G$149)</f>
        <v>0</v>
      </c>
      <c r="H156" s="10">
        <f>(((F143*(1-'5.Closing Stock &amp; W Capital'!$D$18))+(E143*'5.Closing Stock &amp; W Capital'!$D$18))*$C156*H$149)</f>
        <v>0</v>
      </c>
      <c r="I156" s="10">
        <f>(((G143*(1-'5.Closing Stock &amp; W Capital'!$D$18))+(F143*'5.Closing Stock &amp; W Capital'!$D$18))*$C156*I$149)</f>
        <v>0</v>
      </c>
      <c r="J156" s="10">
        <f>(((H143*(1-'5.Closing Stock &amp; W Capital'!$D$18))+(G143*'5.Closing Stock &amp; W Capital'!$D$18))*$C156*J$149)</f>
        <v>0</v>
      </c>
    </row>
    <row r="157" spans="1:10" x14ac:dyDescent="0.25">
      <c r="A157" s="8"/>
      <c r="B157" s="1"/>
      <c r="C157" s="1"/>
      <c r="D157" s="10"/>
      <c r="E157" s="10"/>
      <c r="F157" s="10"/>
      <c r="G157" s="10"/>
      <c r="H157" s="10"/>
      <c r="I157" s="10"/>
      <c r="J157" s="10"/>
    </row>
    <row r="158" spans="1:10" x14ac:dyDescent="0.25">
      <c r="A158" s="8"/>
      <c r="B158" s="8"/>
      <c r="C158" s="8"/>
      <c r="D158" s="10"/>
      <c r="E158" s="10"/>
      <c r="F158" s="10"/>
      <c r="G158" s="10"/>
      <c r="H158" s="10"/>
      <c r="I158" s="10"/>
      <c r="J158" s="10"/>
    </row>
    <row r="159" spans="1:10" x14ac:dyDescent="0.2">
      <c r="A159" s="11" t="s">
        <v>126</v>
      </c>
      <c r="B159" s="11"/>
      <c r="C159" s="11"/>
      <c r="D159" s="12">
        <f t="shared" ref="D159:J159" si="25">SUM(D154:D157)</f>
        <v>0</v>
      </c>
      <c r="E159" s="12">
        <f t="shared" si="25"/>
        <v>0</v>
      </c>
      <c r="F159" s="12">
        <f t="shared" si="25"/>
        <v>0</v>
      </c>
      <c r="G159" s="12">
        <f t="shared" si="25"/>
        <v>0</v>
      </c>
      <c r="H159" s="12">
        <f t="shared" si="25"/>
        <v>0</v>
      </c>
      <c r="I159" s="12">
        <f t="shared" si="25"/>
        <v>0</v>
      </c>
      <c r="J159" s="12">
        <f t="shared" si="25"/>
        <v>0</v>
      </c>
    </row>
    <row r="160" spans="1:10" x14ac:dyDescent="0.25">
      <c r="A160" s="8"/>
      <c r="B160" s="8"/>
      <c r="C160" s="8"/>
      <c r="D160" s="10"/>
      <c r="E160" s="10"/>
      <c r="F160" s="10"/>
      <c r="G160" s="10"/>
      <c r="H160" s="10"/>
      <c r="I160" s="10"/>
      <c r="J160" s="10"/>
    </row>
    <row r="161" spans="1:10" x14ac:dyDescent="0.25">
      <c r="A161" s="11" t="s">
        <v>141</v>
      </c>
      <c r="B161" s="11"/>
      <c r="C161" s="11"/>
      <c r="D161" s="10"/>
      <c r="E161" s="10"/>
      <c r="F161" s="10"/>
      <c r="G161" s="10"/>
      <c r="H161" s="10"/>
      <c r="I161" s="10"/>
      <c r="J161" s="10"/>
    </row>
    <row r="162" spans="1:10" x14ac:dyDescent="0.25">
      <c r="A162" s="11" t="s">
        <v>305</v>
      </c>
      <c r="B162" s="11"/>
      <c r="C162" s="8"/>
      <c r="D162" s="10"/>
      <c r="E162" s="10"/>
      <c r="F162" s="10"/>
      <c r="G162" s="10"/>
      <c r="H162" s="10"/>
      <c r="I162" s="10"/>
      <c r="J162" s="10"/>
    </row>
    <row r="163" spans="1:10" x14ac:dyDescent="0.25">
      <c r="A163" s="14" t="s">
        <v>522</v>
      </c>
      <c r="B163" s="1" t="s">
        <v>352</v>
      </c>
      <c r="C163" s="9">
        <v>6000</v>
      </c>
      <c r="D163" s="10">
        <f>B62*$C163*D$149</f>
        <v>0</v>
      </c>
      <c r="E163" s="10">
        <f>C62*$C163*E$149</f>
        <v>0</v>
      </c>
      <c r="F163" s="10">
        <f t="shared" ref="F163:J163" si="26">D62*$C163*F$149</f>
        <v>0</v>
      </c>
      <c r="G163" s="10">
        <f t="shared" si="26"/>
        <v>0</v>
      </c>
      <c r="H163" s="10">
        <f t="shared" si="26"/>
        <v>0</v>
      </c>
      <c r="I163" s="10">
        <f t="shared" si="26"/>
        <v>0</v>
      </c>
      <c r="J163" s="10">
        <f t="shared" si="26"/>
        <v>0</v>
      </c>
    </row>
    <row r="164" spans="1:10" x14ac:dyDescent="0.25">
      <c r="A164" s="8" t="s">
        <v>523</v>
      </c>
      <c r="B164" s="1" t="s">
        <v>352</v>
      </c>
      <c r="C164" s="1">
        <v>2000</v>
      </c>
      <c r="D164" s="10">
        <f>(B62*10%)*$C164*D$149</f>
        <v>0</v>
      </c>
      <c r="E164" s="10">
        <f t="shared" ref="E164:J164" si="27">(C62*10%)*$C164*E$149</f>
        <v>0</v>
      </c>
      <c r="F164" s="10">
        <f t="shared" si="27"/>
        <v>0</v>
      </c>
      <c r="G164" s="10">
        <f t="shared" si="27"/>
        <v>0</v>
      </c>
      <c r="H164" s="10">
        <f t="shared" si="27"/>
        <v>0</v>
      </c>
      <c r="I164" s="10">
        <f t="shared" si="27"/>
        <v>0</v>
      </c>
      <c r="J164" s="10">
        <f t="shared" si="27"/>
        <v>0</v>
      </c>
    </row>
    <row r="165" spans="1:10" x14ac:dyDescent="0.25">
      <c r="A165" s="8" t="s">
        <v>312</v>
      </c>
      <c r="B165" s="1">
        <v>5</v>
      </c>
      <c r="C165" s="1">
        <v>300</v>
      </c>
      <c r="D165" s="10">
        <f t="shared" ref="D165:J165" si="28">B12*$B$165*$C$165*D149</f>
        <v>0</v>
      </c>
      <c r="E165" s="10">
        <f t="shared" si="28"/>
        <v>0</v>
      </c>
      <c r="F165" s="10">
        <f t="shared" si="28"/>
        <v>0</v>
      </c>
      <c r="G165" s="10">
        <f t="shared" si="28"/>
        <v>0</v>
      </c>
      <c r="H165" s="10">
        <f t="shared" si="28"/>
        <v>0</v>
      </c>
      <c r="I165" s="10">
        <f t="shared" si="28"/>
        <v>0</v>
      </c>
      <c r="J165" s="10">
        <f t="shared" si="28"/>
        <v>0</v>
      </c>
    </row>
    <row r="166" spans="1:10" x14ac:dyDescent="0.25">
      <c r="A166" s="8" t="s">
        <v>143</v>
      </c>
      <c r="B166" s="8">
        <f>'2.Capex Details'!H86*0.746*8</f>
        <v>0</v>
      </c>
      <c r="C166" s="1">
        <v>8</v>
      </c>
      <c r="D166" s="10">
        <f t="shared" ref="D166:J166" si="29">$B$166*$C$166*B12*D149</f>
        <v>0</v>
      </c>
      <c r="E166" s="10">
        <f t="shared" si="29"/>
        <v>0</v>
      </c>
      <c r="F166" s="10">
        <f t="shared" si="29"/>
        <v>0</v>
      </c>
      <c r="G166" s="10">
        <f t="shared" si="29"/>
        <v>0</v>
      </c>
      <c r="H166" s="10">
        <f t="shared" si="29"/>
        <v>0</v>
      </c>
      <c r="I166" s="10">
        <f t="shared" si="29"/>
        <v>0</v>
      </c>
      <c r="J166" s="10">
        <f t="shared" si="29"/>
        <v>0</v>
      </c>
    </row>
    <row r="167" spans="1:10" x14ac:dyDescent="0.25">
      <c r="A167" s="8" t="s">
        <v>288</v>
      </c>
      <c r="B167" s="8" t="s">
        <v>352</v>
      </c>
      <c r="C167" s="1">
        <v>10</v>
      </c>
      <c r="D167" s="10">
        <f>B62*$C167*D$149</f>
        <v>0</v>
      </c>
      <c r="E167" s="10">
        <f t="shared" ref="E167:J167" si="30">C62*$C167*E$149</f>
        <v>0</v>
      </c>
      <c r="F167" s="10">
        <f t="shared" si="30"/>
        <v>0</v>
      </c>
      <c r="G167" s="10">
        <f t="shared" si="30"/>
        <v>0</v>
      </c>
      <c r="H167" s="10">
        <f t="shared" si="30"/>
        <v>0</v>
      </c>
      <c r="I167" s="10">
        <f t="shared" si="30"/>
        <v>0</v>
      </c>
      <c r="J167" s="10">
        <f t="shared" si="30"/>
        <v>0</v>
      </c>
    </row>
    <row r="168" spans="1:10" x14ac:dyDescent="0.25">
      <c r="A168" s="26" t="s">
        <v>289</v>
      </c>
      <c r="B168" s="26"/>
      <c r="C168" s="76">
        <v>2</v>
      </c>
      <c r="D168" s="10">
        <f>SUM(B141:B143)*$C$168*D$149</f>
        <v>0</v>
      </c>
      <c r="E168" s="10">
        <f t="shared" ref="E168:J168" si="31">SUM(C141:C143)*$C$168*E$149</f>
        <v>0</v>
      </c>
      <c r="F168" s="10">
        <f t="shared" si="31"/>
        <v>0</v>
      </c>
      <c r="G168" s="10">
        <f t="shared" si="31"/>
        <v>0</v>
      </c>
      <c r="H168" s="10">
        <f t="shared" si="31"/>
        <v>0</v>
      </c>
      <c r="I168" s="10">
        <f t="shared" si="31"/>
        <v>0</v>
      </c>
      <c r="J168" s="10">
        <f t="shared" si="31"/>
        <v>0</v>
      </c>
    </row>
    <row r="169" spans="1:10" x14ac:dyDescent="0.25">
      <c r="A169" s="8" t="s">
        <v>290</v>
      </c>
      <c r="B169" s="8"/>
      <c r="C169" s="1">
        <v>1</v>
      </c>
      <c r="D169" s="10">
        <f>SUM(B141:B143)*$C$169*D$149</f>
        <v>0</v>
      </c>
      <c r="E169" s="10">
        <f t="shared" ref="E169:J169" si="32">SUM(C141:C143)*$C$169*E$149</f>
        <v>0</v>
      </c>
      <c r="F169" s="10">
        <f t="shared" si="32"/>
        <v>0</v>
      </c>
      <c r="G169" s="10">
        <f t="shared" si="32"/>
        <v>0</v>
      </c>
      <c r="H169" s="10">
        <f t="shared" si="32"/>
        <v>0</v>
      </c>
      <c r="I169" s="10">
        <f t="shared" si="32"/>
        <v>0</v>
      </c>
      <c r="J169" s="10">
        <f t="shared" si="32"/>
        <v>0</v>
      </c>
    </row>
    <row r="170" spans="1:10" x14ac:dyDescent="0.25">
      <c r="A170" s="18"/>
      <c r="B170" s="18"/>
      <c r="C170" s="18"/>
      <c r="D170" s="18"/>
      <c r="E170" s="18"/>
      <c r="F170" s="18"/>
      <c r="G170" s="18"/>
      <c r="H170" s="18"/>
      <c r="I170" s="18"/>
      <c r="J170" s="18"/>
    </row>
    <row r="171" spans="1:10" x14ac:dyDescent="0.25">
      <c r="A171" s="18"/>
      <c r="B171" s="18"/>
      <c r="C171" s="18"/>
      <c r="D171" s="18"/>
      <c r="E171" s="18"/>
      <c r="F171" s="18"/>
      <c r="G171" s="18"/>
      <c r="H171" s="18"/>
      <c r="I171" s="18"/>
      <c r="J171" s="18"/>
    </row>
    <row r="172" spans="1:10" x14ac:dyDescent="0.25">
      <c r="A172" s="18"/>
      <c r="B172" s="18"/>
      <c r="C172" s="18"/>
      <c r="D172" s="18"/>
      <c r="E172" s="18"/>
      <c r="F172" s="18"/>
      <c r="G172" s="18"/>
      <c r="H172" s="18"/>
      <c r="I172" s="18"/>
      <c r="J172" s="18"/>
    </row>
    <row r="173" spans="1:10" x14ac:dyDescent="0.25">
      <c r="A173" s="18"/>
      <c r="B173" s="18"/>
      <c r="C173" s="18"/>
      <c r="D173" s="18"/>
      <c r="E173" s="18"/>
      <c r="F173" s="18"/>
      <c r="G173" s="18"/>
      <c r="H173" s="18"/>
      <c r="I173" s="18"/>
      <c r="J173" s="18"/>
    </row>
    <row r="174" spans="1:10" x14ac:dyDescent="0.25">
      <c r="A174" s="77" t="s">
        <v>335</v>
      </c>
      <c r="B174" s="10"/>
      <c r="C174" s="10"/>
      <c r="D174" s="10"/>
      <c r="E174" s="10">
        <f>'5.Closing Stock &amp; W Capital'!F9</f>
        <v>0</v>
      </c>
      <c r="F174" s="10">
        <f>'5.Closing Stock &amp; W Capital'!G9</f>
        <v>0</v>
      </c>
      <c r="G174" s="10">
        <f>'5.Closing Stock &amp; W Capital'!H9</f>
        <v>0</v>
      </c>
      <c r="H174" s="10">
        <f>'5.Closing Stock &amp; W Capital'!I9</f>
        <v>0</v>
      </c>
      <c r="I174" s="10">
        <f>'5.Closing Stock &amp; W Capital'!J9</f>
        <v>0</v>
      </c>
      <c r="J174" s="10">
        <f>'5.Closing Stock &amp; W Capital'!K9</f>
        <v>0</v>
      </c>
    </row>
    <row r="175" spans="1:10" x14ac:dyDescent="0.25">
      <c r="A175" s="77" t="s">
        <v>336</v>
      </c>
      <c r="B175" s="10"/>
      <c r="C175" s="10"/>
      <c r="D175" s="10">
        <f>'5.Closing Stock &amp; W Capital'!E18</f>
        <v>0</v>
      </c>
      <c r="E175" s="10">
        <f>'5.Closing Stock &amp; W Capital'!F18</f>
        <v>0</v>
      </c>
      <c r="F175" s="10">
        <f>'5.Closing Stock &amp; W Capital'!G18</f>
        <v>0</v>
      </c>
      <c r="G175" s="10">
        <f>'5.Closing Stock &amp; W Capital'!H18</f>
        <v>0</v>
      </c>
      <c r="H175" s="10">
        <f>'5.Closing Stock &amp; W Capital'!I18</f>
        <v>0</v>
      </c>
      <c r="I175" s="10">
        <f>'5.Closing Stock &amp; W Capital'!J18</f>
        <v>0</v>
      </c>
      <c r="J175" s="10">
        <f>'5.Closing Stock &amp; W Capital'!K18</f>
        <v>0</v>
      </c>
    </row>
    <row r="176" spans="1:10" x14ac:dyDescent="0.25">
      <c r="A176" s="10"/>
      <c r="B176" s="10"/>
      <c r="C176" s="10"/>
      <c r="D176" s="10"/>
      <c r="E176" s="10"/>
      <c r="F176" s="10"/>
      <c r="G176" s="10"/>
      <c r="H176" s="10"/>
      <c r="I176" s="10"/>
      <c r="J176" s="10"/>
    </row>
    <row r="177" spans="1:10" x14ac:dyDescent="0.25">
      <c r="A177" s="12" t="s">
        <v>313</v>
      </c>
      <c r="B177" s="10"/>
      <c r="C177" s="10"/>
      <c r="D177" s="12">
        <f t="shared" ref="D177:J177" si="33">SUM(D163:D174)-D175</f>
        <v>0</v>
      </c>
      <c r="E177" s="12">
        <f t="shared" si="33"/>
        <v>0</v>
      </c>
      <c r="F177" s="12">
        <f t="shared" si="33"/>
        <v>0</v>
      </c>
      <c r="G177" s="12">
        <f t="shared" si="33"/>
        <v>0</v>
      </c>
      <c r="H177" s="12">
        <f t="shared" si="33"/>
        <v>0</v>
      </c>
      <c r="I177" s="12">
        <f t="shared" si="33"/>
        <v>0</v>
      </c>
      <c r="J177" s="12">
        <f t="shared" si="33"/>
        <v>0</v>
      </c>
    </row>
    <row r="178" spans="1:10" x14ac:dyDescent="0.25">
      <c r="A178" s="3"/>
      <c r="B178" s="3"/>
      <c r="C178" s="3"/>
      <c r="D178" s="3"/>
      <c r="E178" s="3"/>
      <c r="F178" s="3"/>
      <c r="G178" s="3"/>
      <c r="H178" s="3"/>
      <c r="I178" s="3"/>
      <c r="J178" s="3"/>
    </row>
    <row r="179" spans="1:10" x14ac:dyDescent="0.2">
      <c r="A179" s="78" t="s">
        <v>303</v>
      </c>
      <c r="B179" s="78"/>
      <c r="C179" s="78"/>
      <c r="D179" s="12"/>
      <c r="E179" s="12"/>
      <c r="F179" s="12"/>
      <c r="G179" s="12"/>
      <c r="H179" s="12"/>
      <c r="I179" s="12"/>
      <c r="J179" s="12"/>
    </row>
    <row r="180" spans="1:10" x14ac:dyDescent="0.25">
      <c r="A180" s="8" t="s">
        <v>187</v>
      </c>
      <c r="B180" s="1">
        <v>0</v>
      </c>
      <c r="C180" s="9">
        <v>0</v>
      </c>
      <c r="D180" s="10">
        <f t="shared" ref="D180:J180" si="34">$B$180*$C$180*12*D149</f>
        <v>0</v>
      </c>
      <c r="E180" s="10">
        <f t="shared" si="34"/>
        <v>0</v>
      </c>
      <c r="F180" s="10">
        <f t="shared" si="34"/>
        <v>0</v>
      </c>
      <c r="G180" s="10">
        <f t="shared" si="34"/>
        <v>0</v>
      </c>
      <c r="H180" s="10">
        <f t="shared" si="34"/>
        <v>0</v>
      </c>
      <c r="I180" s="10">
        <f t="shared" si="34"/>
        <v>0</v>
      </c>
      <c r="J180" s="10">
        <f t="shared" si="34"/>
        <v>0</v>
      </c>
    </row>
    <row r="181" spans="1:10" x14ac:dyDescent="0.25">
      <c r="A181" s="8" t="s">
        <v>192</v>
      </c>
      <c r="B181" s="1">
        <v>0</v>
      </c>
      <c r="C181" s="9">
        <v>0</v>
      </c>
      <c r="D181" s="10">
        <f t="shared" ref="D181:J181" si="35">$B$181*$C$181*12*D149</f>
        <v>0</v>
      </c>
      <c r="E181" s="10">
        <f t="shared" si="35"/>
        <v>0</v>
      </c>
      <c r="F181" s="10">
        <f t="shared" si="35"/>
        <v>0</v>
      </c>
      <c r="G181" s="10">
        <f t="shared" si="35"/>
        <v>0</v>
      </c>
      <c r="H181" s="10">
        <f t="shared" si="35"/>
        <v>0</v>
      </c>
      <c r="I181" s="10">
        <f t="shared" si="35"/>
        <v>0</v>
      </c>
      <c r="J181" s="10">
        <f t="shared" si="35"/>
        <v>0</v>
      </c>
    </row>
    <row r="182" spans="1:10" x14ac:dyDescent="0.25">
      <c r="A182" s="8"/>
      <c r="B182" s="1"/>
      <c r="C182" s="9"/>
      <c r="D182" s="10"/>
      <c r="E182" s="10"/>
      <c r="F182" s="10"/>
      <c r="G182" s="10"/>
      <c r="H182" s="10"/>
      <c r="I182" s="10"/>
      <c r="J182" s="10"/>
    </row>
    <row r="183" spans="1:10" x14ac:dyDescent="0.25">
      <c r="A183" s="8"/>
      <c r="B183" s="1"/>
      <c r="C183" s="9"/>
      <c r="D183" s="10"/>
      <c r="E183" s="10"/>
      <c r="F183" s="10"/>
      <c r="G183" s="10"/>
      <c r="H183" s="10"/>
      <c r="I183" s="10"/>
      <c r="J183" s="10"/>
    </row>
    <row r="184" spans="1:10" x14ac:dyDescent="0.25">
      <c r="A184" s="8"/>
      <c r="B184" s="1"/>
      <c r="C184" s="9"/>
      <c r="D184" s="10"/>
      <c r="E184" s="10"/>
      <c r="F184" s="10"/>
      <c r="G184" s="10"/>
      <c r="H184" s="10"/>
      <c r="I184" s="10"/>
      <c r="J184" s="10"/>
    </row>
    <row r="185" spans="1:10" x14ac:dyDescent="0.2">
      <c r="A185" s="11" t="s">
        <v>303</v>
      </c>
      <c r="B185" s="11"/>
      <c r="C185" s="11"/>
      <c r="D185" s="12">
        <f>SUM(D180:D184)</f>
        <v>0</v>
      </c>
      <c r="E185" s="12">
        <f t="shared" ref="E185:J185" si="36">SUM(E180:E184)</f>
        <v>0</v>
      </c>
      <c r="F185" s="12">
        <f t="shared" si="36"/>
        <v>0</v>
      </c>
      <c r="G185" s="12">
        <f t="shared" si="36"/>
        <v>0</v>
      </c>
      <c r="H185" s="12">
        <f t="shared" si="36"/>
        <v>0</v>
      </c>
      <c r="I185" s="12">
        <f t="shared" si="36"/>
        <v>0</v>
      </c>
      <c r="J185" s="12">
        <f t="shared" si="36"/>
        <v>0</v>
      </c>
    </row>
    <row r="186" spans="1:10" x14ac:dyDescent="0.2">
      <c r="A186" s="78" t="s">
        <v>291</v>
      </c>
      <c r="B186" s="78"/>
      <c r="C186" s="78"/>
      <c r="D186" s="12">
        <f>D177+D185</f>
        <v>0</v>
      </c>
      <c r="E186" s="12">
        <f t="shared" ref="E186:J186" si="37">E177+E185</f>
        <v>0</v>
      </c>
      <c r="F186" s="12">
        <f t="shared" si="37"/>
        <v>0</v>
      </c>
      <c r="G186" s="12">
        <f t="shared" si="37"/>
        <v>0</v>
      </c>
      <c r="H186" s="12">
        <f t="shared" si="37"/>
        <v>0</v>
      </c>
      <c r="I186" s="12">
        <f t="shared" si="37"/>
        <v>0</v>
      </c>
      <c r="J186" s="12">
        <f t="shared" si="37"/>
        <v>0</v>
      </c>
    </row>
    <row r="187" spans="1:10" x14ac:dyDescent="0.25">
      <c r="A187" s="8"/>
      <c r="B187" s="8"/>
      <c r="C187" s="8"/>
      <c r="D187" s="10"/>
      <c r="E187" s="10"/>
      <c r="F187" s="10"/>
      <c r="G187" s="10"/>
      <c r="H187" s="10"/>
      <c r="I187" s="10"/>
      <c r="J187" s="10"/>
    </row>
    <row r="188" spans="1:10" x14ac:dyDescent="0.2">
      <c r="A188" s="11" t="s">
        <v>7</v>
      </c>
      <c r="B188" s="11"/>
      <c r="C188" s="11"/>
      <c r="D188" s="12">
        <f t="shared" ref="D188:J188" si="38">D159-D186</f>
        <v>0</v>
      </c>
      <c r="E188" s="12">
        <f t="shared" si="38"/>
        <v>0</v>
      </c>
      <c r="F188" s="12">
        <f t="shared" si="38"/>
        <v>0</v>
      </c>
      <c r="G188" s="12">
        <f t="shared" si="38"/>
        <v>0</v>
      </c>
      <c r="H188" s="12">
        <f t="shared" si="38"/>
        <v>0</v>
      </c>
      <c r="I188" s="12">
        <f t="shared" si="38"/>
        <v>0</v>
      </c>
      <c r="J188" s="12">
        <f t="shared" si="38"/>
        <v>0</v>
      </c>
    </row>
    <row r="189" spans="1:10" x14ac:dyDescent="0.25">
      <c r="A189" s="25"/>
      <c r="B189" s="25"/>
      <c r="C189" s="25"/>
      <c r="D189" s="3"/>
      <c r="E189" s="3"/>
      <c r="F189" s="3"/>
      <c r="G189" s="3"/>
      <c r="H189" s="3"/>
      <c r="I189" s="3"/>
      <c r="J189" s="3"/>
    </row>
    <row r="190" spans="1:10" x14ac:dyDescent="0.25">
      <c r="A190" s="3"/>
      <c r="B190" s="3"/>
      <c r="C190" s="3"/>
      <c r="D190" s="3"/>
      <c r="E190" s="3"/>
      <c r="F190" s="3"/>
      <c r="G190" s="3"/>
      <c r="H190" s="3"/>
      <c r="I190" s="3"/>
      <c r="J190" s="3"/>
    </row>
    <row r="191" spans="1:10" x14ac:dyDescent="0.25">
      <c r="A191" s="3"/>
      <c r="B191" s="3"/>
      <c r="C191" s="3"/>
      <c r="D191" s="3"/>
      <c r="E191" s="3"/>
      <c r="F191" s="3"/>
      <c r="G191" s="3"/>
      <c r="H191" s="3"/>
      <c r="I191" s="3"/>
      <c r="J191" s="3"/>
    </row>
    <row r="192" spans="1:10" x14ac:dyDescent="0.25">
      <c r="A192" s="563" t="s">
        <v>414</v>
      </c>
      <c r="B192" s="563"/>
      <c r="C192" s="563"/>
      <c r="D192" s="563"/>
      <c r="E192" s="563"/>
      <c r="F192" s="563"/>
      <c r="G192" s="563"/>
      <c r="H192" s="563"/>
      <c r="I192" s="563"/>
      <c r="J192" s="563"/>
    </row>
    <row r="194" spans="1:5" x14ac:dyDescent="0.25">
      <c r="A194" t="s">
        <v>530</v>
      </c>
    </row>
    <row r="195" spans="1:5" x14ac:dyDescent="0.25">
      <c r="A195">
        <v>1</v>
      </c>
      <c r="B195" t="s">
        <v>543</v>
      </c>
    </row>
    <row r="196" spans="1:5" x14ac:dyDescent="0.25">
      <c r="A196">
        <v>2</v>
      </c>
      <c r="B196" t="s">
        <v>544</v>
      </c>
      <c r="C196" s="22"/>
      <c r="D196" s="22"/>
      <c r="E196" s="22"/>
    </row>
    <row r="197" spans="1:5" x14ac:dyDescent="0.25">
      <c r="A197">
        <v>3</v>
      </c>
      <c r="B197" s="3" t="s">
        <v>595</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100"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F13" sqref="F13"/>
    </sheetView>
  </sheetViews>
  <sheetFormatPr defaultRowHeight="15" x14ac:dyDescent="0.25"/>
  <cols>
    <col min="2" max="2" width="14.7109375" customWidth="1"/>
  </cols>
  <sheetData>
    <row r="1" spans="1:6" ht="15.75" x14ac:dyDescent="0.25">
      <c r="A1" s="566" t="s">
        <v>769</v>
      </c>
      <c r="B1" s="566"/>
      <c r="C1" s="566"/>
      <c r="D1" s="566"/>
      <c r="E1" s="566"/>
      <c r="F1" s="566"/>
    </row>
    <row r="2" spans="1:6" x14ac:dyDescent="0.25">
      <c r="A2" s="567" t="s">
        <v>381</v>
      </c>
      <c r="B2" s="567" t="s">
        <v>386</v>
      </c>
      <c r="C2" s="567" t="s">
        <v>774</v>
      </c>
      <c r="D2" s="567" t="s">
        <v>775</v>
      </c>
      <c r="E2" s="567" t="s">
        <v>776</v>
      </c>
      <c r="F2" s="567" t="s">
        <v>777</v>
      </c>
    </row>
    <row r="3" spans="1:6" x14ac:dyDescent="0.25">
      <c r="A3" s="567"/>
      <c r="B3" s="567"/>
      <c r="C3" s="567"/>
      <c r="D3" s="567"/>
      <c r="E3" s="567"/>
      <c r="F3" s="567"/>
    </row>
    <row r="4" spans="1:6" ht="15.75" x14ac:dyDescent="0.25">
      <c r="A4" s="455"/>
      <c r="B4" s="567" t="s">
        <v>778</v>
      </c>
      <c r="C4" s="567"/>
      <c r="D4" s="567"/>
      <c r="E4" s="567"/>
      <c r="F4" s="455"/>
    </row>
    <row r="5" spans="1:6" ht="15.75" x14ac:dyDescent="0.25">
      <c r="A5" s="456">
        <v>1</v>
      </c>
      <c r="B5" s="456" t="s">
        <v>770</v>
      </c>
      <c r="C5" s="457">
        <v>200</v>
      </c>
      <c r="D5" s="457">
        <v>250</v>
      </c>
      <c r="E5" s="457">
        <v>0</v>
      </c>
      <c r="F5" s="457">
        <f>+SUM(C5:E5)</f>
        <v>450</v>
      </c>
    </row>
    <row r="6" spans="1:6" ht="15.75" x14ac:dyDescent="0.25">
      <c r="A6" s="456">
        <v>2</v>
      </c>
      <c r="B6" s="456" t="s">
        <v>771</v>
      </c>
      <c r="C6" s="457">
        <v>120</v>
      </c>
      <c r="D6" s="457">
        <v>70</v>
      </c>
      <c r="E6" s="457">
        <v>0</v>
      </c>
      <c r="F6" s="457">
        <f t="shared" ref="F6:F8" si="0">+SUM(C6:E6)</f>
        <v>190</v>
      </c>
    </row>
    <row r="7" spans="1:6" ht="15.75" x14ac:dyDescent="0.25">
      <c r="A7" s="456">
        <v>3</v>
      </c>
      <c r="B7" s="456" t="s">
        <v>772</v>
      </c>
      <c r="C7" s="457">
        <v>30</v>
      </c>
      <c r="D7" s="457">
        <v>25</v>
      </c>
      <c r="E7" s="457">
        <v>0</v>
      </c>
      <c r="F7" s="457">
        <f t="shared" si="0"/>
        <v>55</v>
      </c>
    </row>
    <row r="8" spans="1:6" ht="15.75" x14ac:dyDescent="0.25">
      <c r="A8" s="456">
        <v>4</v>
      </c>
      <c r="B8" s="456" t="s">
        <v>773</v>
      </c>
      <c r="C8" s="457">
        <v>1100</v>
      </c>
      <c r="D8" s="457">
        <v>900</v>
      </c>
      <c r="E8" s="457">
        <v>1250</v>
      </c>
      <c r="F8" s="457">
        <f t="shared" si="0"/>
        <v>3250</v>
      </c>
    </row>
  </sheetData>
  <mergeCells count="8">
    <mergeCell ref="A1:F1"/>
    <mergeCell ref="B4:E4"/>
    <mergeCell ref="A2:A3"/>
    <mergeCell ref="B2:B3"/>
    <mergeCell ref="C2:C3"/>
    <mergeCell ref="D2:D3"/>
    <mergeCell ref="E2:E3"/>
    <mergeCell ref="F2: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view="pageBreakPreview" topLeftCell="A32" zoomScaleNormal="100" zoomScaleSheetLayoutView="100" workbookViewId="0">
      <selection activeCell="C48" sqref="C48"/>
    </sheetView>
  </sheetViews>
  <sheetFormatPr defaultColWidth="10" defaultRowHeight="15" x14ac:dyDescent="0.25"/>
  <cols>
    <col min="1" max="1" width="10" style="104"/>
    <col min="2" max="2" width="7.5703125" style="104" customWidth="1"/>
    <col min="3" max="3" width="26.28515625" style="104" customWidth="1"/>
    <col min="4" max="4" width="15" style="104" customWidth="1"/>
    <col min="5" max="5" width="16" style="104" customWidth="1"/>
    <col min="6" max="6" width="17.7109375" style="104" customWidth="1"/>
    <col min="7" max="7" width="10" style="104"/>
    <col min="8" max="8" width="12.28515625" style="104" bestFit="1" customWidth="1"/>
    <col min="9" max="9" width="15.28515625" style="104" bestFit="1" customWidth="1"/>
    <col min="10" max="16384" width="10" style="104"/>
  </cols>
  <sheetData>
    <row r="2" spans="1:9" ht="18.75" x14ac:dyDescent="0.3">
      <c r="B2" s="479" t="s">
        <v>547</v>
      </c>
      <c r="C2" s="479"/>
      <c r="D2" s="479"/>
      <c r="E2" s="479"/>
      <c r="F2" s="479"/>
    </row>
    <row r="4" spans="1:9" x14ac:dyDescent="0.25">
      <c r="B4" s="392" t="s">
        <v>144</v>
      </c>
      <c r="C4" s="392" t="s">
        <v>127</v>
      </c>
      <c r="D4" s="392" t="s">
        <v>157</v>
      </c>
      <c r="E4" s="393" t="s">
        <v>454</v>
      </c>
      <c r="F4" s="393" t="s">
        <v>455</v>
      </c>
      <c r="I4" s="161"/>
    </row>
    <row r="5" spans="1:9" x14ac:dyDescent="0.2">
      <c r="B5" s="426">
        <v>1</v>
      </c>
      <c r="C5" s="427" t="str">
        <f>'2.Capex Details'!B2</f>
        <v>Land and Building</v>
      </c>
      <c r="D5" s="428">
        <f>'2.Capex Details'!G12</f>
        <v>23064771</v>
      </c>
      <c r="E5" s="429">
        <v>0.6</v>
      </c>
      <c r="F5" s="430">
        <f>D5*E5</f>
        <v>13838862.6</v>
      </c>
    </row>
    <row r="6" spans="1:9" x14ac:dyDescent="0.2">
      <c r="B6" s="426">
        <v>2</v>
      </c>
      <c r="C6" s="427" t="str">
        <f>'2.Capex Details'!B17</f>
        <v>Machinery and Equipment</v>
      </c>
      <c r="D6" s="428">
        <f>'2.Capex Details'!G88</f>
        <v>10073106.469999999</v>
      </c>
      <c r="E6" s="429">
        <v>0.6</v>
      </c>
      <c r="F6" s="430">
        <f>D6*E6</f>
        <v>6043863.8819999993</v>
      </c>
    </row>
    <row r="7" spans="1:9" hidden="1" x14ac:dyDescent="0.2">
      <c r="B7" s="426">
        <v>3</v>
      </c>
      <c r="C7" s="427" t="str">
        <f>'2.Capex Details'!B94</f>
        <v>Furniture and Fixture</v>
      </c>
      <c r="D7" s="428">
        <f>'2.Capex Details'!F103</f>
        <v>623479</v>
      </c>
      <c r="E7" s="429">
        <v>0.6</v>
      </c>
      <c r="F7" s="430">
        <f t="shared" ref="F7:F8" si="0">D7*E7</f>
        <v>374087.39999999997</v>
      </c>
    </row>
    <row r="8" spans="1:9" x14ac:dyDescent="0.2">
      <c r="B8" s="426">
        <v>3</v>
      </c>
      <c r="C8" s="427" t="str">
        <f>'2.Capex Details'!B108</f>
        <v>IT &amp; It Infrastracture</v>
      </c>
      <c r="D8" s="428">
        <f>'2.Capex Details'!F117+'2.Capex Details'!F103</f>
        <v>917479</v>
      </c>
      <c r="E8" s="429">
        <v>0.6</v>
      </c>
      <c r="F8" s="430">
        <f t="shared" si="0"/>
        <v>550487.4</v>
      </c>
    </row>
    <row r="9" spans="1:9" hidden="1" x14ac:dyDescent="0.2">
      <c r="B9" s="426">
        <v>5</v>
      </c>
      <c r="C9" s="427" t="str">
        <f>'2.Capex Details'!B122</f>
        <v>Transport vehicle</v>
      </c>
      <c r="D9" s="428">
        <f>'2.Capex Details'!F132</f>
        <v>0</v>
      </c>
      <c r="E9" s="429">
        <v>0.6</v>
      </c>
      <c r="F9" s="430">
        <f>D9*E9</f>
        <v>0</v>
      </c>
      <c r="I9" s="161"/>
    </row>
    <row r="10" spans="1:9" x14ac:dyDescent="0.2">
      <c r="B10" s="426">
        <v>4</v>
      </c>
      <c r="C10" s="427" t="str">
        <f>'2.Capex Details'!B136</f>
        <v>Preliminary Expenses</v>
      </c>
      <c r="D10" s="428">
        <f>'2.Capex Details'!D144</f>
        <v>0</v>
      </c>
      <c r="E10" s="429">
        <v>0.6</v>
      </c>
      <c r="F10" s="430">
        <f>D10*E10</f>
        <v>0</v>
      </c>
      <c r="H10" s="157"/>
      <c r="I10" s="157"/>
    </row>
    <row r="11" spans="1:9" x14ac:dyDescent="0.2">
      <c r="B11" s="426">
        <v>5</v>
      </c>
      <c r="C11" s="427" t="s">
        <v>155</v>
      </c>
      <c r="D11" s="428">
        <f>'5.Closing Stock &amp; W Capital'!E56</f>
        <v>661853</v>
      </c>
      <c r="E11" s="431"/>
      <c r="F11" s="431"/>
      <c r="I11" s="161"/>
    </row>
    <row r="12" spans="1:9" x14ac:dyDescent="0.2">
      <c r="B12" s="477" t="s">
        <v>1</v>
      </c>
      <c r="C12" s="477"/>
      <c r="D12" s="432">
        <f>SUM(D5:D11)</f>
        <v>35340688.469999999</v>
      </c>
      <c r="E12" s="431"/>
      <c r="F12" s="432">
        <f>SUM(F5:F11)</f>
        <v>20807301.281999998</v>
      </c>
      <c r="I12" s="161"/>
    </row>
    <row r="13" spans="1:9" x14ac:dyDescent="0.25">
      <c r="D13" s="395"/>
      <c r="I13" s="157"/>
    </row>
    <row r="14" spans="1:9" ht="25.5" customHeight="1" x14ac:dyDescent="0.2">
      <c r="A14" s="484" t="s">
        <v>407</v>
      </c>
      <c r="B14" s="484"/>
      <c r="C14" s="484"/>
      <c r="D14" s="484"/>
      <c r="E14" s="484"/>
      <c r="F14" s="484"/>
      <c r="I14" s="161"/>
    </row>
    <row r="15" spans="1:9" x14ac:dyDescent="0.25">
      <c r="H15" s="161"/>
    </row>
    <row r="16" spans="1:9" ht="18.75" x14ac:dyDescent="0.3">
      <c r="C16" s="290"/>
      <c r="D16" s="290"/>
      <c r="E16" s="290"/>
      <c r="F16" s="290"/>
    </row>
    <row r="17" spans="2:9" ht="18.75" x14ac:dyDescent="0.25">
      <c r="B17" s="485" t="s">
        <v>548</v>
      </c>
      <c r="C17" s="485"/>
      <c r="D17" s="485"/>
      <c r="E17" s="485"/>
      <c r="F17" s="161"/>
      <c r="H17" s="161"/>
    </row>
    <row r="18" spans="2:9" x14ac:dyDescent="0.25">
      <c r="B18" s="396" t="s">
        <v>144</v>
      </c>
      <c r="C18" s="392" t="s">
        <v>127</v>
      </c>
      <c r="D18" s="392" t="s">
        <v>639</v>
      </c>
      <c r="E18" s="392" t="s">
        <v>157</v>
      </c>
    </row>
    <row r="19" spans="2:9" ht="25.5" x14ac:dyDescent="0.25">
      <c r="B19" s="397">
        <v>1</v>
      </c>
      <c r="C19" s="394" t="s">
        <v>325</v>
      </c>
      <c r="D19" s="398"/>
      <c r="E19" s="399">
        <f>MIN(20000000,F12)</f>
        <v>20000000</v>
      </c>
      <c r="G19" s="161"/>
    </row>
    <row r="20" spans="2:9" x14ac:dyDescent="0.25">
      <c r="B20" s="397">
        <v>2</v>
      </c>
      <c r="C20" s="394" t="s">
        <v>156</v>
      </c>
      <c r="D20" s="398">
        <v>0.38</v>
      </c>
      <c r="E20" s="399">
        <f>SUM(D5:D11)*D20</f>
        <v>13429461.6186</v>
      </c>
    </row>
    <row r="21" spans="2:9" x14ac:dyDescent="0.25">
      <c r="B21" s="397">
        <v>3</v>
      </c>
      <c r="C21" s="394" t="s">
        <v>133</v>
      </c>
      <c r="D21" s="399"/>
      <c r="E21" s="399">
        <f>D12-E19-E20</f>
        <v>1911226.8513999991</v>
      </c>
      <c r="F21" s="357"/>
    </row>
    <row r="22" spans="2:9" x14ac:dyDescent="0.25">
      <c r="B22" s="478" t="s">
        <v>1</v>
      </c>
      <c r="C22" s="478"/>
      <c r="D22" s="400"/>
      <c r="E22" s="400">
        <f>SUM(E19:E21)</f>
        <v>35340688.469999999</v>
      </c>
      <c r="F22" s="161"/>
    </row>
    <row r="24" spans="2:9" x14ac:dyDescent="0.25">
      <c r="B24" s="483" t="s">
        <v>408</v>
      </c>
      <c r="C24" s="483"/>
      <c r="D24" s="483"/>
      <c r="E24" s="483"/>
      <c r="F24" s="483"/>
    </row>
    <row r="26" spans="2:9" ht="18.75" x14ac:dyDescent="0.3">
      <c r="B26" s="482" t="s">
        <v>549</v>
      </c>
      <c r="C26" s="482"/>
      <c r="D26" s="482"/>
      <c r="E26" s="482"/>
      <c r="F26" s="482"/>
    </row>
    <row r="27" spans="2:9" x14ac:dyDescent="0.25">
      <c r="B27" s="401" t="s">
        <v>144</v>
      </c>
      <c r="C27" s="402" t="s">
        <v>598</v>
      </c>
      <c r="D27" s="403" t="s">
        <v>599</v>
      </c>
      <c r="E27" s="404" t="s">
        <v>600</v>
      </c>
      <c r="F27" s="480" t="s">
        <v>601</v>
      </c>
      <c r="G27" s="481"/>
    </row>
    <row r="28" spans="2:9" ht="25.5" x14ac:dyDescent="0.25">
      <c r="B28" s="397">
        <v>1</v>
      </c>
      <c r="C28" s="394" t="s">
        <v>368</v>
      </c>
      <c r="D28" s="405">
        <f>'9. Financial indiacators'!C49</f>
        <v>0.43927890048952128</v>
      </c>
      <c r="E28" s="397" t="s">
        <v>369</v>
      </c>
      <c r="F28" s="406" t="s">
        <v>602</v>
      </c>
      <c r="G28" s="397" t="s">
        <v>370</v>
      </c>
      <c r="I28" s="407"/>
    </row>
    <row r="29" spans="2:9" ht="38.25" x14ac:dyDescent="0.25">
      <c r="B29" s="397">
        <v>2</v>
      </c>
      <c r="C29" s="394" t="s">
        <v>371</v>
      </c>
      <c r="D29" s="408">
        <f>'9. Financial indiacators'!C85</f>
        <v>0.27037962712156338</v>
      </c>
      <c r="E29" s="397" t="s">
        <v>369</v>
      </c>
      <c r="F29" s="406" t="s">
        <v>603</v>
      </c>
      <c r="G29" s="397" t="s">
        <v>372</v>
      </c>
      <c r="I29" s="407"/>
    </row>
    <row r="30" spans="2:9" ht="38.25" x14ac:dyDescent="0.25">
      <c r="B30" s="397">
        <v>3</v>
      </c>
      <c r="C30" s="394" t="s">
        <v>373</v>
      </c>
      <c r="D30" s="405">
        <f>'9. Financial indiacators'!C16</f>
        <v>0.11520228755949713</v>
      </c>
      <c r="E30" s="397" t="s">
        <v>369</v>
      </c>
      <c r="F30" s="406" t="s">
        <v>686</v>
      </c>
      <c r="G30" s="397" t="s">
        <v>687</v>
      </c>
      <c r="I30" s="407"/>
    </row>
    <row r="31" spans="2:9" ht="63.75" x14ac:dyDescent="0.25">
      <c r="B31" s="397">
        <v>4</v>
      </c>
      <c r="C31" s="394" t="s">
        <v>374</v>
      </c>
      <c r="D31" s="409">
        <f>'9. Financial indiacators'!C73</f>
        <v>2065577.4359086156</v>
      </c>
      <c r="E31" s="397" t="s">
        <v>378</v>
      </c>
      <c r="F31" s="406" t="s">
        <v>604</v>
      </c>
      <c r="G31" s="397" t="s">
        <v>375</v>
      </c>
      <c r="I31" s="407"/>
    </row>
    <row r="32" spans="2:9" ht="38.25" x14ac:dyDescent="0.25">
      <c r="B32" s="397">
        <v>5</v>
      </c>
      <c r="C32" s="394" t="s">
        <v>376</v>
      </c>
      <c r="D32" s="410">
        <f>'9. Financial indiacators'!D101</f>
        <v>5.0337726764752988</v>
      </c>
      <c r="E32" s="397" t="s">
        <v>369</v>
      </c>
      <c r="F32" s="406" t="s">
        <v>605</v>
      </c>
      <c r="G32" s="397" t="s">
        <v>379</v>
      </c>
      <c r="I32" s="407"/>
    </row>
    <row r="33" spans="2:9" ht="38.25" x14ac:dyDescent="0.25">
      <c r="B33" s="397">
        <v>6</v>
      </c>
      <c r="C33" s="411" t="s">
        <v>377</v>
      </c>
      <c r="D33" s="410">
        <f>'9. Financial indiacators'!C116</f>
        <v>2.0868420973305968</v>
      </c>
      <c r="E33" s="308" t="s">
        <v>369</v>
      </c>
      <c r="F33" s="406" t="s">
        <v>685</v>
      </c>
      <c r="G33" s="411" t="s">
        <v>684</v>
      </c>
      <c r="I33" s="407"/>
    </row>
  </sheetData>
  <mergeCells count="8">
    <mergeCell ref="B12:C12"/>
    <mergeCell ref="B22:C22"/>
    <mergeCell ref="B2:F2"/>
    <mergeCell ref="F27:G27"/>
    <mergeCell ref="B26:F26"/>
    <mergeCell ref="B24:F24"/>
    <mergeCell ref="A14:F14"/>
    <mergeCell ref="B17:E17"/>
  </mergeCells>
  <conditionalFormatting sqref="D23">
    <cfRule type="cellIs" dxfId="3" priority="1" operator="greaterThan">
      <formula>0</formula>
    </cfRule>
  </conditionalFormatting>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6"/>
  <sheetViews>
    <sheetView view="pageBreakPreview" zoomScale="80" zoomScaleNormal="80" zoomScaleSheetLayoutView="80" workbookViewId="0">
      <selection activeCell="D13" sqref="D13"/>
    </sheetView>
  </sheetViews>
  <sheetFormatPr defaultColWidth="10" defaultRowHeight="15" x14ac:dyDescent="0.25"/>
  <cols>
    <col min="1" max="1" width="10" style="104"/>
    <col min="2" max="2" width="7.5703125" style="104" customWidth="1"/>
    <col min="3" max="3" width="41.5703125" style="104" customWidth="1"/>
    <col min="4" max="4" width="13.42578125" style="104" customWidth="1"/>
    <col min="5" max="5" width="17" style="104" customWidth="1"/>
    <col min="6" max="6" width="14" style="104" customWidth="1"/>
    <col min="7" max="7" width="16" style="104" customWidth="1"/>
    <col min="8" max="8" width="11.5703125" style="104" customWidth="1"/>
    <col min="9" max="9" width="15.7109375" style="104" bestFit="1" customWidth="1"/>
    <col min="10" max="16384" width="10" style="104"/>
  </cols>
  <sheetData>
    <row r="2" spans="1:11" ht="18.75" x14ac:dyDescent="0.3">
      <c r="A2" s="104">
        <v>2.1</v>
      </c>
      <c r="B2" s="479" t="s">
        <v>153</v>
      </c>
      <c r="C2" s="479"/>
      <c r="D2" s="479"/>
      <c r="E2" s="479"/>
      <c r="F2" s="479"/>
      <c r="G2" s="479"/>
    </row>
    <row r="4" spans="1:11" x14ac:dyDescent="0.25">
      <c r="B4" s="300" t="s">
        <v>144</v>
      </c>
      <c r="C4" s="300" t="s">
        <v>127</v>
      </c>
      <c r="D4" s="300" t="s">
        <v>131</v>
      </c>
      <c r="E4" s="300" t="s">
        <v>145</v>
      </c>
      <c r="F4" s="300" t="s">
        <v>146</v>
      </c>
      <c r="G4" s="300" t="s">
        <v>157</v>
      </c>
    </row>
    <row r="5" spans="1:11" x14ac:dyDescent="0.25">
      <c r="B5" s="368">
        <v>1</v>
      </c>
      <c r="C5" s="368" t="s">
        <v>147</v>
      </c>
      <c r="D5" s="368" t="s">
        <v>148</v>
      </c>
      <c r="E5" s="369"/>
      <c r="F5" s="370"/>
      <c r="G5" s="371" t="s">
        <v>760</v>
      </c>
    </row>
    <row r="6" spans="1:11" x14ac:dyDescent="0.25">
      <c r="B6" s="368"/>
      <c r="C6" s="368"/>
      <c r="D6" s="309"/>
      <c r="E6" s="372"/>
      <c r="F6" s="373">
        <v>0</v>
      </c>
      <c r="G6" s="374">
        <f>E6*F6</f>
        <v>0</v>
      </c>
    </row>
    <row r="7" spans="1:11" ht="15.75" x14ac:dyDescent="0.25">
      <c r="B7" s="436" t="s">
        <v>172</v>
      </c>
      <c r="C7" s="436" t="s">
        <v>199</v>
      </c>
      <c r="D7" s="368" t="s">
        <v>148</v>
      </c>
      <c r="E7" s="372"/>
      <c r="F7" s="373"/>
      <c r="G7" s="374"/>
      <c r="I7" s="375"/>
    </row>
    <row r="8" spans="1:11" ht="30" x14ac:dyDescent="0.25">
      <c r="B8" s="368">
        <v>1</v>
      </c>
      <c r="C8" s="368" t="s">
        <v>761</v>
      </c>
      <c r="D8" s="368" t="s">
        <v>762</v>
      </c>
      <c r="E8" s="372">
        <v>1</v>
      </c>
      <c r="F8" s="373">
        <v>4720000</v>
      </c>
      <c r="G8" s="374">
        <f>F8*E8</f>
        <v>4720000</v>
      </c>
      <c r="I8" s="157"/>
    </row>
    <row r="9" spans="1:11" x14ac:dyDescent="0.25">
      <c r="B9" s="368">
        <v>2</v>
      </c>
      <c r="C9" s="368" t="s">
        <v>765</v>
      </c>
      <c r="D9" s="449" t="s">
        <v>148</v>
      </c>
      <c r="E9" s="372">
        <v>1</v>
      </c>
      <c r="F9" s="373">
        <v>10582771</v>
      </c>
      <c r="G9" s="374">
        <f t="shared" ref="G9:G10" si="0">F9*E9</f>
        <v>10582771</v>
      </c>
      <c r="K9" s="458"/>
    </row>
    <row r="10" spans="1:11" x14ac:dyDescent="0.25">
      <c r="B10" s="368">
        <v>3</v>
      </c>
      <c r="C10" s="368" t="s">
        <v>698</v>
      </c>
      <c r="D10" s="368"/>
      <c r="E10" s="372">
        <v>1</v>
      </c>
      <c r="F10" s="373">
        <v>7762000</v>
      </c>
      <c r="G10" s="374">
        <f t="shared" si="0"/>
        <v>7762000</v>
      </c>
    </row>
    <row r="11" spans="1:11" x14ac:dyDescent="0.25">
      <c r="B11" s="368"/>
      <c r="C11" s="368"/>
      <c r="D11" s="309"/>
      <c r="E11" s="372"/>
      <c r="F11" s="373"/>
      <c r="G11" s="374">
        <f t="shared" ref="G11" si="1">E11*F11</f>
        <v>0</v>
      </c>
    </row>
    <row r="12" spans="1:11" x14ac:dyDescent="0.25">
      <c r="B12" s="487" t="s">
        <v>1</v>
      </c>
      <c r="C12" s="487"/>
      <c r="D12" s="487"/>
      <c r="E12" s="487"/>
      <c r="F12" s="487"/>
      <c r="G12" s="376">
        <f>SUM(G6:G11)</f>
        <v>23064771</v>
      </c>
    </row>
    <row r="15" spans="1:11" x14ac:dyDescent="0.25">
      <c r="B15" s="483" t="s">
        <v>403</v>
      </c>
      <c r="C15" s="483"/>
      <c r="D15" s="483"/>
      <c r="E15" s="483"/>
      <c r="F15" s="483"/>
      <c r="G15" s="483"/>
    </row>
    <row r="17" spans="1:8" ht="18.75" x14ac:dyDescent="0.3">
      <c r="A17" s="104">
        <v>2.2000000000000002</v>
      </c>
      <c r="B17" s="479" t="s">
        <v>154</v>
      </c>
      <c r="C17" s="479"/>
      <c r="D17" s="479"/>
      <c r="E17" s="479"/>
      <c r="F17" s="479"/>
      <c r="G17" s="479"/>
      <c r="H17" s="479"/>
    </row>
    <row r="18" spans="1:8" x14ac:dyDescent="0.25">
      <c r="B18" s="149"/>
    </row>
    <row r="19" spans="1:8" ht="30" customHeight="1" x14ac:dyDescent="0.25">
      <c r="B19" s="300" t="s">
        <v>144</v>
      </c>
      <c r="C19" s="300" t="s">
        <v>149</v>
      </c>
      <c r="D19" s="300" t="s">
        <v>160</v>
      </c>
      <c r="E19" s="300" t="s">
        <v>150</v>
      </c>
      <c r="F19" s="300" t="s">
        <v>151</v>
      </c>
      <c r="G19" s="300" t="s">
        <v>157</v>
      </c>
      <c r="H19" s="300" t="s">
        <v>152</v>
      </c>
    </row>
    <row r="20" spans="1:8" x14ac:dyDescent="0.25">
      <c r="B20" s="377"/>
      <c r="C20" s="133"/>
      <c r="D20" s="133"/>
      <c r="E20" s="133"/>
      <c r="F20" s="133"/>
      <c r="G20" s="378"/>
      <c r="H20" s="133"/>
    </row>
    <row r="21" spans="1:8" x14ac:dyDescent="0.25">
      <c r="B21" s="379" t="s">
        <v>173</v>
      </c>
      <c r="C21" s="305" t="s">
        <v>286</v>
      </c>
      <c r="D21" s="381"/>
      <c r="E21" s="377"/>
      <c r="F21" s="378"/>
      <c r="G21" s="378"/>
      <c r="H21" s="133"/>
    </row>
    <row r="22" spans="1:8" x14ac:dyDescent="0.25">
      <c r="B22" s="377">
        <v>1</v>
      </c>
      <c r="C22" s="309" t="s">
        <v>711</v>
      </c>
      <c r="D22" s="381"/>
      <c r="E22" s="377">
        <v>2</v>
      </c>
      <c r="F22" s="378">
        <v>125000</v>
      </c>
      <c r="G22" s="378">
        <f>E22*F22</f>
        <v>250000</v>
      </c>
      <c r="H22" s="133"/>
    </row>
    <row r="23" spans="1:8" x14ac:dyDescent="0.25">
      <c r="B23" s="377">
        <v>2</v>
      </c>
      <c r="C23" s="309" t="s">
        <v>712</v>
      </c>
      <c r="D23" s="381"/>
      <c r="E23" s="377">
        <v>3</v>
      </c>
      <c r="F23" s="378">
        <v>33600</v>
      </c>
      <c r="G23" s="378">
        <f t="shared" ref="G23:G38" si="2">E23*F23</f>
        <v>100800</v>
      </c>
      <c r="H23" s="133"/>
    </row>
    <row r="24" spans="1:8" x14ac:dyDescent="0.25">
      <c r="B24" s="377">
        <v>3</v>
      </c>
      <c r="C24" s="309" t="s">
        <v>713</v>
      </c>
      <c r="D24" s="381"/>
      <c r="E24" s="377">
        <v>2</v>
      </c>
      <c r="F24" s="378">
        <v>65000</v>
      </c>
      <c r="G24" s="378">
        <f t="shared" si="2"/>
        <v>130000</v>
      </c>
      <c r="H24" s="133"/>
    </row>
    <row r="25" spans="1:8" x14ac:dyDescent="0.25">
      <c r="B25" s="377">
        <v>4</v>
      </c>
      <c r="C25" s="309" t="s">
        <v>714</v>
      </c>
      <c r="D25" s="381"/>
      <c r="E25" s="377">
        <v>1</v>
      </c>
      <c r="F25" s="378">
        <v>35000</v>
      </c>
      <c r="G25" s="378">
        <f t="shared" si="2"/>
        <v>35000</v>
      </c>
      <c r="H25" s="133"/>
    </row>
    <row r="26" spans="1:8" x14ac:dyDescent="0.25">
      <c r="B26" s="377">
        <v>5</v>
      </c>
      <c r="C26" s="309" t="s">
        <v>715</v>
      </c>
      <c r="D26" s="381" t="s">
        <v>716</v>
      </c>
      <c r="E26" s="377">
        <v>1</v>
      </c>
      <c r="F26" s="378">
        <v>125000</v>
      </c>
      <c r="G26" s="378">
        <f t="shared" si="2"/>
        <v>125000</v>
      </c>
      <c r="H26" s="133">
        <v>10</v>
      </c>
    </row>
    <row r="27" spans="1:8" x14ac:dyDescent="0.25">
      <c r="B27" s="377">
        <v>6</v>
      </c>
      <c r="C27" s="309" t="s">
        <v>717</v>
      </c>
      <c r="D27" s="381"/>
      <c r="E27" s="377">
        <v>1</v>
      </c>
      <c r="F27" s="378">
        <v>30000</v>
      </c>
      <c r="G27" s="378">
        <f t="shared" si="2"/>
        <v>30000</v>
      </c>
      <c r="H27" s="133"/>
    </row>
    <row r="28" spans="1:8" x14ac:dyDescent="0.25">
      <c r="B28" s="377">
        <v>7</v>
      </c>
      <c r="C28" s="309" t="s">
        <v>718</v>
      </c>
      <c r="D28" s="381"/>
      <c r="E28" s="377">
        <v>3</v>
      </c>
      <c r="F28" s="378">
        <v>14400</v>
      </c>
      <c r="G28" s="378">
        <f t="shared" si="2"/>
        <v>43200</v>
      </c>
      <c r="H28" s="133"/>
    </row>
    <row r="29" spans="1:8" x14ac:dyDescent="0.25">
      <c r="B29" s="377">
        <v>8</v>
      </c>
      <c r="C29" s="309" t="s">
        <v>719</v>
      </c>
      <c r="D29" s="381"/>
      <c r="E29" s="377">
        <v>1</v>
      </c>
      <c r="F29" s="378">
        <v>155000</v>
      </c>
      <c r="G29" s="378">
        <f t="shared" si="2"/>
        <v>155000</v>
      </c>
      <c r="H29" s="133"/>
    </row>
    <row r="30" spans="1:8" x14ac:dyDescent="0.25">
      <c r="B30" s="377">
        <v>9</v>
      </c>
      <c r="C30" s="309" t="s">
        <v>730</v>
      </c>
      <c r="D30" s="381"/>
      <c r="E30" s="377">
        <v>3</v>
      </c>
      <c r="F30" s="378">
        <v>28800</v>
      </c>
      <c r="G30" s="378">
        <f t="shared" si="2"/>
        <v>86400</v>
      </c>
      <c r="H30" s="133"/>
    </row>
    <row r="31" spans="1:8" x14ac:dyDescent="0.25">
      <c r="B31" s="377">
        <v>10</v>
      </c>
      <c r="C31" s="309" t="s">
        <v>720</v>
      </c>
      <c r="D31" s="381"/>
      <c r="E31" s="377">
        <v>1</v>
      </c>
      <c r="F31" s="378">
        <v>55000</v>
      </c>
      <c r="G31" s="378">
        <f t="shared" si="2"/>
        <v>55000</v>
      </c>
      <c r="H31" s="133"/>
    </row>
    <row r="32" spans="1:8" x14ac:dyDescent="0.25">
      <c r="B32" s="377">
        <v>11</v>
      </c>
      <c r="C32" s="309" t="s">
        <v>721</v>
      </c>
      <c r="D32" s="381" t="s">
        <v>722</v>
      </c>
      <c r="E32" s="377">
        <v>1</v>
      </c>
      <c r="F32" s="378">
        <v>25000</v>
      </c>
      <c r="G32" s="378">
        <f t="shared" si="2"/>
        <v>25000</v>
      </c>
      <c r="H32" s="133">
        <v>15</v>
      </c>
    </row>
    <row r="33" spans="2:8" x14ac:dyDescent="0.25">
      <c r="B33" s="377">
        <v>12</v>
      </c>
      <c r="C33" s="309" t="s">
        <v>723</v>
      </c>
      <c r="D33" s="381" t="s">
        <v>724</v>
      </c>
      <c r="E33" s="377">
        <v>1</v>
      </c>
      <c r="F33" s="378">
        <v>250000</v>
      </c>
      <c r="G33" s="378">
        <f t="shared" si="2"/>
        <v>250000</v>
      </c>
      <c r="H33" s="133">
        <v>5</v>
      </c>
    </row>
    <row r="34" spans="2:8" ht="30" x14ac:dyDescent="0.25">
      <c r="B34" s="377">
        <v>13</v>
      </c>
      <c r="C34" s="309" t="s">
        <v>725</v>
      </c>
      <c r="D34" s="381"/>
      <c r="E34" s="377">
        <v>1</v>
      </c>
      <c r="F34" s="378">
        <v>125000</v>
      </c>
      <c r="G34" s="378">
        <f t="shared" si="2"/>
        <v>125000</v>
      </c>
      <c r="H34" s="133"/>
    </row>
    <row r="35" spans="2:8" x14ac:dyDescent="0.25">
      <c r="B35" s="377">
        <v>14</v>
      </c>
      <c r="C35" s="309" t="s">
        <v>726</v>
      </c>
      <c r="D35" s="381"/>
      <c r="E35" s="377">
        <v>1</v>
      </c>
      <c r="F35" s="378">
        <v>28000</v>
      </c>
      <c r="G35" s="378">
        <f t="shared" si="2"/>
        <v>28000</v>
      </c>
      <c r="H35" s="133"/>
    </row>
    <row r="36" spans="2:8" x14ac:dyDescent="0.25">
      <c r="B36" s="377">
        <v>15</v>
      </c>
      <c r="C36" s="309" t="s">
        <v>729</v>
      </c>
      <c r="D36" s="381" t="s">
        <v>728</v>
      </c>
      <c r="E36" s="377">
        <v>50</v>
      </c>
      <c r="F36" s="378">
        <v>90</v>
      </c>
      <c r="G36" s="378">
        <f t="shared" si="2"/>
        <v>4500</v>
      </c>
      <c r="H36" s="133"/>
    </row>
    <row r="37" spans="2:8" x14ac:dyDescent="0.25">
      <c r="B37" s="377">
        <v>16</v>
      </c>
      <c r="C37" s="309" t="s">
        <v>727</v>
      </c>
      <c r="D37" s="381"/>
      <c r="E37" s="377">
        <v>1</v>
      </c>
      <c r="F37" s="378">
        <v>150000</v>
      </c>
      <c r="G37" s="378">
        <f t="shared" si="2"/>
        <v>150000</v>
      </c>
      <c r="H37" s="133"/>
    </row>
    <row r="38" spans="2:8" x14ac:dyDescent="0.25">
      <c r="C38" s="438" t="s">
        <v>732</v>
      </c>
      <c r="E38" s="104">
        <v>1</v>
      </c>
      <c r="F38" s="104">
        <v>79645</v>
      </c>
      <c r="G38" s="378">
        <f t="shared" si="2"/>
        <v>79645</v>
      </c>
    </row>
    <row r="39" spans="2:8" x14ac:dyDescent="0.25">
      <c r="B39" s="377"/>
      <c r="C39" s="391" t="s">
        <v>731</v>
      </c>
      <c r="D39" s="381"/>
      <c r="E39" s="377"/>
      <c r="F39" s="378"/>
      <c r="G39" s="380">
        <f>SUM(G22:G38)</f>
        <v>1672545</v>
      </c>
      <c r="H39" s="133"/>
    </row>
    <row r="40" spans="2:8" ht="15.75" x14ac:dyDescent="0.25">
      <c r="B40" s="377" t="s">
        <v>174</v>
      </c>
      <c r="C40" s="441" t="s">
        <v>739</v>
      </c>
      <c r="D40" s="381"/>
      <c r="E40" s="377"/>
      <c r="F40" s="439"/>
      <c r="G40" s="439"/>
      <c r="H40" s="133"/>
    </row>
    <row r="41" spans="2:8" x14ac:dyDescent="0.25">
      <c r="B41" s="377">
        <v>1</v>
      </c>
      <c r="C41" s="309" t="s">
        <v>733</v>
      </c>
      <c r="D41" s="381" t="s">
        <v>734</v>
      </c>
      <c r="E41" s="377">
        <v>5</v>
      </c>
      <c r="F41" s="378">
        <v>90000</v>
      </c>
      <c r="G41" s="378">
        <f>+E41*F41</f>
        <v>450000</v>
      </c>
      <c r="H41" s="133">
        <v>1</v>
      </c>
    </row>
    <row r="42" spans="2:8" ht="30" x14ac:dyDescent="0.25">
      <c r="B42" s="377">
        <v>2</v>
      </c>
      <c r="C42" s="309" t="s">
        <v>735</v>
      </c>
      <c r="D42" s="381" t="s">
        <v>724</v>
      </c>
      <c r="E42" s="377">
        <v>1</v>
      </c>
      <c r="F42" s="378">
        <v>575000</v>
      </c>
      <c r="G42" s="378">
        <f t="shared" ref="G42:G52" si="3">+E42*F42</f>
        <v>575000</v>
      </c>
      <c r="H42" s="133">
        <v>5</v>
      </c>
    </row>
    <row r="43" spans="2:8" x14ac:dyDescent="0.25">
      <c r="B43" s="377">
        <v>3</v>
      </c>
      <c r="C43" s="309" t="s">
        <v>736</v>
      </c>
      <c r="D43" s="381"/>
      <c r="E43" s="377">
        <v>1</v>
      </c>
      <c r="F43" s="378">
        <v>35000</v>
      </c>
      <c r="G43" s="378">
        <f t="shared" si="3"/>
        <v>35000</v>
      </c>
      <c r="H43" s="133"/>
    </row>
    <row r="44" spans="2:8" ht="30" x14ac:dyDescent="0.25">
      <c r="B44" s="377">
        <v>4</v>
      </c>
      <c r="C44" s="309" t="s">
        <v>737</v>
      </c>
      <c r="D44" s="381" t="s">
        <v>738</v>
      </c>
      <c r="E44" s="377">
        <v>1</v>
      </c>
      <c r="F44" s="378">
        <v>350000</v>
      </c>
      <c r="G44" s="378">
        <f t="shared" si="3"/>
        <v>350000</v>
      </c>
      <c r="H44" s="133">
        <v>7.5</v>
      </c>
    </row>
    <row r="45" spans="2:8" x14ac:dyDescent="0.25">
      <c r="B45" s="377">
        <v>5</v>
      </c>
      <c r="C45" s="309" t="s">
        <v>740</v>
      </c>
      <c r="D45" s="381" t="s">
        <v>741</v>
      </c>
      <c r="E45" s="377">
        <v>1</v>
      </c>
      <c r="F45" s="378">
        <v>350000</v>
      </c>
      <c r="G45" s="378">
        <f t="shared" si="3"/>
        <v>350000</v>
      </c>
      <c r="H45" s="133">
        <v>2</v>
      </c>
    </row>
    <row r="46" spans="2:8" x14ac:dyDescent="0.25">
      <c r="B46" s="377">
        <v>6</v>
      </c>
      <c r="C46" s="309" t="s">
        <v>742</v>
      </c>
      <c r="D46" s="381"/>
      <c r="E46" s="377">
        <v>2</v>
      </c>
      <c r="F46" s="378">
        <v>40000</v>
      </c>
      <c r="G46" s="378">
        <f t="shared" si="3"/>
        <v>80000</v>
      </c>
      <c r="H46" s="133"/>
    </row>
    <row r="47" spans="2:8" x14ac:dyDescent="0.25">
      <c r="B47" s="377">
        <v>7</v>
      </c>
      <c r="C47" s="440" t="s">
        <v>743</v>
      </c>
      <c r="D47" s="381"/>
      <c r="E47" s="377">
        <v>1</v>
      </c>
      <c r="F47" s="378">
        <v>250000</v>
      </c>
      <c r="G47" s="378">
        <f t="shared" si="3"/>
        <v>250000</v>
      </c>
      <c r="H47" s="133"/>
    </row>
    <row r="48" spans="2:8" x14ac:dyDescent="0.25">
      <c r="B48" s="377">
        <v>8</v>
      </c>
      <c r="C48" s="309" t="s">
        <v>744</v>
      </c>
      <c r="D48" s="381"/>
      <c r="E48" s="377">
        <v>21</v>
      </c>
      <c r="F48" s="378">
        <v>7000</v>
      </c>
      <c r="G48" s="378">
        <f t="shared" si="3"/>
        <v>147000</v>
      </c>
      <c r="H48" s="133"/>
    </row>
    <row r="49" spans="2:8" x14ac:dyDescent="0.25">
      <c r="B49" s="377">
        <v>9</v>
      </c>
      <c r="C49" s="309" t="s">
        <v>745</v>
      </c>
      <c r="D49" s="381"/>
      <c r="E49" s="377">
        <v>1</v>
      </c>
      <c r="F49" s="378">
        <v>8000</v>
      </c>
      <c r="G49" s="378">
        <f t="shared" si="3"/>
        <v>8000</v>
      </c>
      <c r="H49" s="133"/>
    </row>
    <row r="50" spans="2:8" x14ac:dyDescent="0.25">
      <c r="B50" s="377">
        <v>10</v>
      </c>
      <c r="C50" s="309" t="s">
        <v>746</v>
      </c>
      <c r="D50" s="381"/>
      <c r="E50" s="377">
        <v>1</v>
      </c>
      <c r="F50" s="378">
        <v>100000</v>
      </c>
      <c r="G50" s="378">
        <f t="shared" si="3"/>
        <v>100000</v>
      </c>
      <c r="H50" s="133"/>
    </row>
    <row r="51" spans="2:8" x14ac:dyDescent="0.25">
      <c r="B51" s="377">
        <v>11</v>
      </c>
      <c r="C51" s="309" t="s">
        <v>747</v>
      </c>
      <c r="D51" s="381"/>
      <c r="E51" s="377">
        <v>1</v>
      </c>
      <c r="F51" s="378">
        <v>74000</v>
      </c>
      <c r="G51" s="378">
        <f t="shared" si="3"/>
        <v>74000</v>
      </c>
      <c r="H51" s="133"/>
    </row>
    <row r="52" spans="2:8" x14ac:dyDescent="0.25">
      <c r="B52" s="377">
        <v>12</v>
      </c>
      <c r="C52" s="309" t="s">
        <v>748</v>
      </c>
      <c r="D52" s="381"/>
      <c r="E52" s="377">
        <v>1</v>
      </c>
      <c r="F52" s="378">
        <v>120950</v>
      </c>
      <c r="G52" s="378">
        <f t="shared" si="3"/>
        <v>120950</v>
      </c>
      <c r="H52" s="133"/>
    </row>
    <row r="53" spans="2:8" x14ac:dyDescent="0.25">
      <c r="B53" s="377"/>
      <c r="C53" s="391" t="s">
        <v>731</v>
      </c>
      <c r="D53" s="381"/>
      <c r="E53" s="377"/>
      <c r="F53" s="378"/>
      <c r="G53" s="380">
        <f>SUM(G41:G52)</f>
        <v>2539950</v>
      </c>
      <c r="H53" s="133"/>
    </row>
    <row r="54" spans="2:8" x14ac:dyDescent="0.25">
      <c r="B54" s="377"/>
      <c r="C54" s="309"/>
      <c r="D54" s="381"/>
      <c r="E54" s="377"/>
      <c r="F54" s="378"/>
      <c r="G54" s="378"/>
      <c r="H54" s="133"/>
    </row>
    <row r="55" spans="2:8" x14ac:dyDescent="0.25">
      <c r="B55" s="377"/>
      <c r="C55" s="309"/>
      <c r="D55" s="381"/>
      <c r="E55" s="377"/>
      <c r="F55" s="378"/>
      <c r="G55" s="378"/>
      <c r="H55" s="133"/>
    </row>
    <row r="56" spans="2:8" ht="15.75" x14ac:dyDescent="0.25">
      <c r="B56" s="377" t="s">
        <v>175</v>
      </c>
      <c r="C56" s="441" t="s">
        <v>699</v>
      </c>
      <c r="D56" s="381"/>
      <c r="E56" s="377">
        <v>1</v>
      </c>
      <c r="F56" s="378"/>
      <c r="G56" s="378"/>
      <c r="H56" s="133"/>
    </row>
    <row r="57" spans="2:8" x14ac:dyDescent="0.25">
      <c r="B57" s="377">
        <v>1</v>
      </c>
      <c r="C57" s="309" t="s">
        <v>700</v>
      </c>
      <c r="D57" s="381"/>
      <c r="E57" s="377">
        <v>1</v>
      </c>
      <c r="F57" s="378">
        <v>750000</v>
      </c>
      <c r="G57" s="378">
        <f t="shared" ref="G57:G68" si="4">E57*F57</f>
        <v>750000</v>
      </c>
      <c r="H57" s="133">
        <v>1</v>
      </c>
    </row>
    <row r="58" spans="2:8" x14ac:dyDescent="0.25">
      <c r="B58" s="377">
        <v>2</v>
      </c>
      <c r="C58" s="309" t="s">
        <v>701</v>
      </c>
      <c r="D58" s="381" t="s">
        <v>734</v>
      </c>
      <c r="E58" s="377">
        <v>1</v>
      </c>
      <c r="F58" s="378">
        <v>800000</v>
      </c>
      <c r="G58" s="378">
        <f t="shared" si="4"/>
        <v>800000</v>
      </c>
      <c r="H58" s="133">
        <v>1</v>
      </c>
    </row>
    <row r="59" spans="2:8" x14ac:dyDescent="0.25">
      <c r="B59" s="377">
        <v>3</v>
      </c>
      <c r="C59" s="309" t="s">
        <v>702</v>
      </c>
      <c r="D59" s="381" t="s">
        <v>734</v>
      </c>
      <c r="E59" s="377">
        <v>1</v>
      </c>
      <c r="F59" s="378">
        <v>890000</v>
      </c>
      <c r="G59" s="378">
        <f t="shared" si="4"/>
        <v>890000</v>
      </c>
      <c r="H59" s="133">
        <v>1</v>
      </c>
    </row>
    <row r="60" spans="2:8" x14ac:dyDescent="0.25">
      <c r="B60" s="377">
        <v>4</v>
      </c>
      <c r="C60" s="309" t="s">
        <v>703</v>
      </c>
      <c r="D60" s="381"/>
      <c r="E60" s="377">
        <v>1</v>
      </c>
      <c r="F60" s="378">
        <v>488000</v>
      </c>
      <c r="G60" s="378">
        <f t="shared" si="4"/>
        <v>488000</v>
      </c>
      <c r="H60" s="133">
        <v>0</v>
      </c>
    </row>
    <row r="61" spans="2:8" x14ac:dyDescent="0.25">
      <c r="B61" s="377"/>
      <c r="C61" s="391" t="s">
        <v>731</v>
      </c>
      <c r="D61" s="381"/>
      <c r="E61" s="377"/>
      <c r="F61" s="378"/>
      <c r="G61" s="380">
        <f>SUM(G57:G60)</f>
        <v>2928000</v>
      </c>
      <c r="H61" s="133"/>
    </row>
    <row r="62" spans="2:8" x14ac:dyDescent="0.25">
      <c r="B62" s="377"/>
      <c r="C62" s="391"/>
      <c r="D62" s="381"/>
      <c r="E62" s="377"/>
      <c r="F62" s="378"/>
      <c r="G62" s="380"/>
      <c r="H62" s="133"/>
    </row>
    <row r="63" spans="2:8" x14ac:dyDescent="0.25">
      <c r="B63" s="437" t="s">
        <v>749</v>
      </c>
      <c r="C63" s="305" t="s">
        <v>704</v>
      </c>
      <c r="D63" s="381">
        <v>5</v>
      </c>
      <c r="E63" s="377">
        <v>1</v>
      </c>
      <c r="F63" s="378">
        <v>1817664</v>
      </c>
      <c r="G63" s="378">
        <f t="shared" si="4"/>
        <v>1817664</v>
      </c>
      <c r="H63" s="133">
        <v>0</v>
      </c>
    </row>
    <row r="64" spans="2:8" x14ac:dyDescent="0.25">
      <c r="B64" s="377"/>
      <c r="C64" s="309"/>
      <c r="D64" s="381"/>
      <c r="E64" s="377"/>
      <c r="F64" s="378"/>
      <c r="G64" s="378"/>
      <c r="H64" s="133"/>
    </row>
    <row r="65" spans="2:8" x14ac:dyDescent="0.25">
      <c r="B65" s="437" t="s">
        <v>750</v>
      </c>
      <c r="C65" s="305" t="s">
        <v>709</v>
      </c>
      <c r="D65" s="381"/>
      <c r="E65" s="377"/>
      <c r="F65" s="378"/>
      <c r="G65" s="378"/>
      <c r="H65" s="133"/>
    </row>
    <row r="66" spans="2:8" x14ac:dyDescent="0.25">
      <c r="B66" s="377">
        <v>1</v>
      </c>
      <c r="C66" s="309" t="s">
        <v>751</v>
      </c>
      <c r="D66" s="381" t="s">
        <v>752</v>
      </c>
      <c r="E66" s="377">
        <v>1</v>
      </c>
      <c r="F66" s="378">
        <v>338787.27</v>
      </c>
      <c r="G66" s="378">
        <f t="shared" si="4"/>
        <v>338787.27</v>
      </c>
      <c r="H66" s="133"/>
    </row>
    <row r="67" spans="2:8" x14ac:dyDescent="0.25">
      <c r="B67" s="377">
        <v>2</v>
      </c>
      <c r="C67" s="309" t="s">
        <v>753</v>
      </c>
      <c r="D67" s="381" t="s">
        <v>754</v>
      </c>
      <c r="E67" s="377">
        <v>1</v>
      </c>
      <c r="F67" s="378">
        <v>299930.5</v>
      </c>
      <c r="G67" s="378">
        <f t="shared" si="4"/>
        <v>299930.5</v>
      </c>
      <c r="H67" s="133">
        <v>0</v>
      </c>
    </row>
    <row r="68" spans="2:8" x14ac:dyDescent="0.25">
      <c r="B68" s="377">
        <v>3</v>
      </c>
      <c r="C68" s="309" t="s">
        <v>755</v>
      </c>
      <c r="D68" s="381" t="s">
        <v>756</v>
      </c>
      <c r="E68" s="442">
        <v>1</v>
      </c>
      <c r="F68" s="378">
        <v>42852.25</v>
      </c>
      <c r="G68" s="378">
        <f t="shared" si="4"/>
        <v>42852.25</v>
      </c>
      <c r="H68" s="133"/>
    </row>
    <row r="69" spans="2:8" x14ac:dyDescent="0.25">
      <c r="B69" s="379"/>
      <c r="C69" s="443" t="s">
        <v>757</v>
      </c>
      <c r="D69" s="444"/>
      <c r="E69" s="445">
        <v>1</v>
      </c>
      <c r="F69" s="446">
        <v>218306.88</v>
      </c>
      <c r="G69" s="447">
        <f t="shared" ref="G69:G71" si="5">E69*F69</f>
        <v>218306.88</v>
      </c>
      <c r="H69" s="133"/>
    </row>
    <row r="70" spans="2:8" x14ac:dyDescent="0.25">
      <c r="B70" s="377"/>
      <c r="C70" s="448" t="s">
        <v>764</v>
      </c>
      <c r="D70" s="444"/>
      <c r="E70" s="445">
        <v>1</v>
      </c>
      <c r="F70" s="446">
        <v>44993.84</v>
      </c>
      <c r="G70" s="446">
        <f t="shared" si="5"/>
        <v>44993.84</v>
      </c>
      <c r="H70" s="133"/>
    </row>
    <row r="71" spans="2:8" x14ac:dyDescent="0.25">
      <c r="B71" s="377"/>
      <c r="C71" s="448" t="s">
        <v>758</v>
      </c>
      <c r="D71" s="444"/>
      <c r="E71" s="445">
        <v>1</v>
      </c>
      <c r="F71" s="446">
        <v>170076.73</v>
      </c>
      <c r="G71" s="446">
        <f t="shared" si="5"/>
        <v>170076.73</v>
      </c>
      <c r="H71" s="133"/>
    </row>
    <row r="72" spans="2:8" x14ac:dyDescent="0.25">
      <c r="B72" s="379"/>
      <c r="C72" s="391" t="s">
        <v>170</v>
      </c>
      <c r="D72" s="381"/>
      <c r="E72" s="377"/>
      <c r="F72" s="378"/>
      <c r="G72" s="378">
        <f>SUM(G66:G71)</f>
        <v>1114947.47</v>
      </c>
      <c r="H72" s="133"/>
    </row>
    <row r="73" spans="2:8" x14ac:dyDescent="0.25">
      <c r="B73" s="486"/>
      <c r="C73" s="486"/>
      <c r="D73" s="379"/>
      <c r="E73" s="379"/>
      <c r="F73" s="380"/>
      <c r="G73" s="380"/>
      <c r="H73" s="380">
        <f>SUM(H22:H72)</f>
        <v>48.5</v>
      </c>
    </row>
    <row r="74" spans="2:8" hidden="1" x14ac:dyDescent="0.25">
      <c r="B74" s="377"/>
      <c r="C74" s="309"/>
      <c r="D74" s="377"/>
      <c r="E74" s="377"/>
      <c r="F74" s="378"/>
      <c r="G74" s="378"/>
      <c r="H74" s="133"/>
    </row>
    <row r="75" spans="2:8" hidden="1" x14ac:dyDescent="0.25">
      <c r="B75" s="379"/>
      <c r="C75" s="305"/>
      <c r="D75" s="377"/>
      <c r="E75" s="377"/>
      <c r="F75" s="378"/>
      <c r="G75" s="378"/>
      <c r="H75" s="133"/>
    </row>
    <row r="76" spans="2:8" hidden="1" x14ac:dyDescent="0.25">
      <c r="B76" s="377"/>
      <c r="C76" s="309"/>
      <c r="D76" s="377"/>
      <c r="E76" s="377"/>
      <c r="F76" s="378"/>
      <c r="G76" s="378">
        <f t="shared" ref="G76:G82" si="6">E76*F76</f>
        <v>0</v>
      </c>
      <c r="H76" s="133"/>
    </row>
    <row r="77" spans="2:8" hidden="1" x14ac:dyDescent="0.25">
      <c r="B77" s="377"/>
      <c r="C77" s="309"/>
      <c r="D77" s="377"/>
      <c r="E77" s="377"/>
      <c r="F77" s="307"/>
      <c r="G77" s="378">
        <f t="shared" si="6"/>
        <v>0</v>
      </c>
      <c r="H77" s="133"/>
    </row>
    <row r="78" spans="2:8" hidden="1" x14ac:dyDescent="0.25">
      <c r="B78" s="377"/>
      <c r="C78" s="309"/>
      <c r="D78" s="309"/>
      <c r="E78" s="377"/>
      <c r="F78" s="378"/>
      <c r="G78" s="378">
        <f t="shared" si="6"/>
        <v>0</v>
      </c>
      <c r="H78" s="133"/>
    </row>
    <row r="79" spans="2:8" hidden="1" x14ac:dyDescent="0.25">
      <c r="B79" s="377"/>
      <c r="C79" s="309"/>
      <c r="D79" s="309"/>
      <c r="E79" s="377"/>
      <c r="F79" s="378"/>
      <c r="G79" s="378">
        <f t="shared" ref="G79" si="7">E79*F79</f>
        <v>0</v>
      </c>
      <c r="H79" s="133"/>
    </row>
    <row r="80" spans="2:8" hidden="1" x14ac:dyDescent="0.25">
      <c r="B80" s="377"/>
      <c r="C80" s="309"/>
      <c r="D80" s="309"/>
      <c r="E80" s="377"/>
      <c r="F80" s="378"/>
      <c r="G80" s="378">
        <f t="shared" si="6"/>
        <v>0</v>
      </c>
      <c r="H80" s="133"/>
    </row>
    <row r="81" spans="1:11" hidden="1" x14ac:dyDescent="0.25">
      <c r="B81" s="377"/>
      <c r="C81" s="309"/>
      <c r="D81" s="309"/>
      <c r="E81" s="377"/>
      <c r="F81" s="378"/>
      <c r="G81" s="378">
        <f t="shared" si="6"/>
        <v>0</v>
      </c>
      <c r="H81" s="133"/>
    </row>
    <row r="82" spans="1:11" hidden="1" x14ac:dyDescent="0.25">
      <c r="B82" s="377"/>
      <c r="C82" s="309"/>
      <c r="D82" s="309"/>
      <c r="E82" s="382"/>
      <c r="F82" s="378"/>
      <c r="G82" s="378">
        <f t="shared" si="6"/>
        <v>0</v>
      </c>
      <c r="H82" s="133"/>
    </row>
    <row r="83" spans="1:11" hidden="1" x14ac:dyDescent="0.25">
      <c r="B83" s="486" t="s">
        <v>170</v>
      </c>
      <c r="C83" s="486"/>
      <c r="D83" s="309"/>
      <c r="E83" s="377"/>
      <c r="F83" s="378"/>
      <c r="G83" s="380">
        <f>SUM(G75:G82)</f>
        <v>0</v>
      </c>
      <c r="H83" s="380">
        <f>SUM(H76:H82)</f>
        <v>0</v>
      </c>
    </row>
    <row r="84" spans="1:11" hidden="1" x14ac:dyDescent="0.25">
      <c r="B84" s="379"/>
      <c r="C84" s="379"/>
      <c r="D84" s="309"/>
      <c r="E84" s="377"/>
      <c r="F84" s="378"/>
      <c r="G84" s="378"/>
      <c r="H84" s="378"/>
    </row>
    <row r="85" spans="1:11" hidden="1" x14ac:dyDescent="0.25">
      <c r="B85" s="379" t="s">
        <v>175</v>
      </c>
      <c r="C85" s="379" t="s">
        <v>529</v>
      </c>
      <c r="D85" s="309"/>
      <c r="E85" s="377"/>
      <c r="F85" s="378"/>
      <c r="G85" s="378">
        <f>E85*F85</f>
        <v>0</v>
      </c>
      <c r="H85" s="378"/>
    </row>
    <row r="86" spans="1:11" hidden="1" x14ac:dyDescent="0.25">
      <c r="B86" s="486" t="s">
        <v>170</v>
      </c>
      <c r="C86" s="486"/>
      <c r="D86" s="309"/>
      <c r="E86" s="377"/>
      <c r="F86" s="378"/>
      <c r="G86" s="378">
        <f>SUM(G85:G85)</f>
        <v>0</v>
      </c>
      <c r="H86" s="378">
        <f>SUM(H85:H85)</f>
        <v>0</v>
      </c>
    </row>
    <row r="87" spans="1:11" hidden="1" x14ac:dyDescent="0.25">
      <c r="B87" s="377"/>
      <c r="C87" s="309"/>
      <c r="D87" s="309"/>
      <c r="E87" s="377"/>
      <c r="F87" s="378"/>
      <c r="G87" s="378"/>
      <c r="H87" s="133"/>
    </row>
    <row r="88" spans="1:11" x14ac:dyDescent="0.25">
      <c r="C88" s="416"/>
      <c r="D88" s="416"/>
      <c r="F88" s="416" t="s">
        <v>1</v>
      </c>
      <c r="G88" s="380">
        <f>G72+G63+G61+G53+G39</f>
        <v>10073106.469999999</v>
      </c>
      <c r="H88" s="380">
        <f>H73</f>
        <v>48.5</v>
      </c>
      <c r="J88" s="157"/>
    </row>
    <row r="89" spans="1:11" x14ac:dyDescent="0.25">
      <c r="B89" s="149"/>
      <c r="G89" s="383"/>
    </row>
    <row r="90" spans="1:11" x14ac:dyDescent="0.25">
      <c r="B90" s="483" t="s">
        <v>404</v>
      </c>
      <c r="C90" s="483"/>
      <c r="D90" s="483"/>
      <c r="E90" s="483"/>
      <c r="F90" s="483"/>
      <c r="G90" s="483"/>
      <c r="H90" s="483"/>
    </row>
    <row r="91" spans="1:11" x14ac:dyDescent="0.25">
      <c r="B91" s="149"/>
      <c r="G91" s="383"/>
      <c r="I91" s="149"/>
      <c r="J91" s="149"/>
      <c r="K91" s="384"/>
    </row>
    <row r="94" spans="1:11" ht="18.75" x14ac:dyDescent="0.3">
      <c r="A94" s="104">
        <v>2.2999999999999998</v>
      </c>
      <c r="B94" s="479" t="s">
        <v>366</v>
      </c>
      <c r="C94" s="479"/>
      <c r="D94" s="479"/>
      <c r="E94" s="479"/>
      <c r="F94" s="479"/>
    </row>
    <row r="96" spans="1:11" x14ac:dyDescent="0.25">
      <c r="B96" s="385" t="s">
        <v>144</v>
      </c>
      <c r="C96" s="300" t="s">
        <v>127</v>
      </c>
      <c r="D96" s="300" t="s">
        <v>150</v>
      </c>
      <c r="E96" s="300" t="s">
        <v>151</v>
      </c>
      <c r="F96" s="300" t="s">
        <v>157</v>
      </c>
    </row>
    <row r="97" spans="1:8" x14ac:dyDescent="0.25">
      <c r="B97" s="386">
        <v>1</v>
      </c>
      <c r="C97" s="387" t="s">
        <v>705</v>
      </c>
      <c r="D97" s="386">
        <v>1</v>
      </c>
      <c r="E97" s="388">
        <v>592150</v>
      </c>
      <c r="F97" s="389">
        <f t="shared" ref="F97:F102" si="8">D97*E97</f>
        <v>592150</v>
      </c>
    </row>
    <row r="98" spans="1:8" x14ac:dyDescent="0.25">
      <c r="B98" s="386">
        <v>2</v>
      </c>
      <c r="C98" s="387" t="s">
        <v>706</v>
      </c>
      <c r="D98" s="386">
        <v>1</v>
      </c>
      <c r="E98" s="388">
        <v>26550</v>
      </c>
      <c r="F98" s="389">
        <f t="shared" si="8"/>
        <v>26550</v>
      </c>
    </row>
    <row r="99" spans="1:8" x14ac:dyDescent="0.25">
      <c r="B99" s="386">
        <v>2.1</v>
      </c>
      <c r="C99" s="387" t="s">
        <v>759</v>
      </c>
      <c r="D99" s="386"/>
      <c r="E99" s="388"/>
      <c r="F99" s="389">
        <v>4779</v>
      </c>
    </row>
    <row r="100" spans="1:8" x14ac:dyDescent="0.25">
      <c r="B100" s="386"/>
      <c r="C100" s="387"/>
      <c r="D100" s="386"/>
      <c r="E100" s="388"/>
      <c r="F100" s="389">
        <f t="shared" si="8"/>
        <v>0</v>
      </c>
    </row>
    <row r="101" spans="1:8" x14ac:dyDescent="0.25">
      <c r="B101" s="386"/>
      <c r="C101" s="387"/>
      <c r="D101" s="386"/>
      <c r="E101" s="388"/>
      <c r="F101" s="389">
        <f t="shared" si="8"/>
        <v>0</v>
      </c>
    </row>
    <row r="102" spans="1:8" x14ac:dyDescent="0.25">
      <c r="B102" s="386"/>
      <c r="C102" s="387"/>
      <c r="D102" s="386"/>
      <c r="E102" s="388"/>
      <c r="F102" s="389">
        <f t="shared" si="8"/>
        <v>0</v>
      </c>
    </row>
    <row r="103" spans="1:8" x14ac:dyDescent="0.25">
      <c r="B103" s="487" t="s">
        <v>1</v>
      </c>
      <c r="C103" s="487"/>
      <c r="D103" s="487"/>
      <c r="E103" s="487"/>
      <c r="F103" s="376">
        <f>SUM(F97:F102)</f>
        <v>623479</v>
      </c>
    </row>
    <row r="105" spans="1:8" x14ac:dyDescent="0.25">
      <c r="A105" s="483" t="s">
        <v>405</v>
      </c>
      <c r="B105" s="483"/>
      <c r="C105" s="483"/>
      <c r="D105" s="483"/>
      <c r="E105" s="483"/>
      <c r="F105" s="483"/>
      <c r="G105" s="483"/>
    </row>
    <row r="106" spans="1:8" x14ac:dyDescent="0.25">
      <c r="H106" s="104">
        <v>9999000</v>
      </c>
    </row>
    <row r="107" spans="1:8" x14ac:dyDescent="0.25">
      <c r="H107" s="104">
        <v>4720000</v>
      </c>
    </row>
    <row r="108" spans="1:8" ht="18.75" x14ac:dyDescent="0.3">
      <c r="A108" s="104">
        <v>2.4</v>
      </c>
      <c r="B108" s="479" t="s">
        <v>365</v>
      </c>
      <c r="C108" s="479"/>
      <c r="D108" s="479"/>
      <c r="E108" s="479"/>
      <c r="F108" s="479"/>
      <c r="H108" s="104">
        <v>7762000</v>
      </c>
    </row>
    <row r="109" spans="1:8" x14ac:dyDescent="0.25">
      <c r="H109" s="104">
        <v>2539950</v>
      </c>
    </row>
    <row r="110" spans="1:8" x14ac:dyDescent="0.25">
      <c r="B110" s="385" t="s">
        <v>144</v>
      </c>
      <c r="C110" s="300" t="s">
        <v>127</v>
      </c>
      <c r="D110" s="300" t="s">
        <v>150</v>
      </c>
      <c r="E110" s="300" t="s">
        <v>151</v>
      </c>
      <c r="F110" s="300" t="s">
        <v>157</v>
      </c>
      <c r="H110" s="104">
        <v>1672545</v>
      </c>
    </row>
    <row r="111" spans="1:8" x14ac:dyDescent="0.25">
      <c r="B111" s="377">
        <v>1</v>
      </c>
      <c r="C111" s="309" t="s">
        <v>707</v>
      </c>
      <c r="D111" s="377">
        <v>1</v>
      </c>
      <c r="E111" s="390">
        <v>117000</v>
      </c>
      <c r="F111" s="378">
        <f t="shared" ref="F111:F116" si="9">D111*E111</f>
        <v>117000</v>
      </c>
      <c r="H111" s="104">
        <v>750000</v>
      </c>
    </row>
    <row r="112" spans="1:8" x14ac:dyDescent="0.25">
      <c r="B112" s="377">
        <v>2</v>
      </c>
      <c r="C112" s="309" t="s">
        <v>708</v>
      </c>
      <c r="D112" s="377">
        <v>1</v>
      </c>
      <c r="E112" s="390">
        <v>177000</v>
      </c>
      <c r="F112" s="378">
        <f t="shared" si="9"/>
        <v>177000</v>
      </c>
      <c r="H112" s="104">
        <v>800000</v>
      </c>
    </row>
    <row r="113" spans="1:8" x14ac:dyDescent="0.25">
      <c r="B113" s="377">
        <v>3</v>
      </c>
      <c r="C113" s="309"/>
      <c r="D113" s="377">
        <v>1</v>
      </c>
      <c r="E113" s="390">
        <v>0</v>
      </c>
      <c r="F113" s="378">
        <f t="shared" si="9"/>
        <v>0</v>
      </c>
      <c r="H113" s="104">
        <v>890000</v>
      </c>
    </row>
    <row r="114" spans="1:8" x14ac:dyDescent="0.25">
      <c r="B114" s="377">
        <v>4</v>
      </c>
      <c r="C114" s="309"/>
      <c r="D114" s="377">
        <v>1</v>
      </c>
      <c r="E114" s="390">
        <v>0</v>
      </c>
      <c r="F114" s="378">
        <f t="shared" si="9"/>
        <v>0</v>
      </c>
      <c r="H114" s="104">
        <v>488000</v>
      </c>
    </row>
    <row r="115" spans="1:8" x14ac:dyDescent="0.25">
      <c r="B115" s="377">
        <v>5</v>
      </c>
      <c r="C115" s="309"/>
      <c r="D115" s="377"/>
      <c r="E115" s="390"/>
      <c r="F115" s="378">
        <f t="shared" si="9"/>
        <v>0</v>
      </c>
      <c r="H115" s="104">
        <v>1817664</v>
      </c>
    </row>
    <row r="116" spans="1:8" x14ac:dyDescent="0.25">
      <c r="B116" s="377">
        <v>6</v>
      </c>
      <c r="C116" s="309"/>
      <c r="D116" s="377"/>
      <c r="E116" s="390"/>
      <c r="F116" s="378">
        <f t="shared" si="9"/>
        <v>0</v>
      </c>
      <c r="H116" s="104">
        <v>592150</v>
      </c>
    </row>
    <row r="117" spans="1:8" x14ac:dyDescent="0.25">
      <c r="B117" s="487" t="s">
        <v>1</v>
      </c>
      <c r="C117" s="487"/>
      <c r="D117" s="487"/>
      <c r="E117" s="487"/>
      <c r="F117" s="376">
        <f>SUM(F111:F116)</f>
        <v>294000</v>
      </c>
      <c r="H117" s="104">
        <v>117000</v>
      </c>
    </row>
    <row r="118" spans="1:8" x14ac:dyDescent="0.25">
      <c r="H118" s="104">
        <v>26550</v>
      </c>
    </row>
    <row r="119" spans="1:8" x14ac:dyDescent="0.25">
      <c r="A119" s="483" t="s">
        <v>405</v>
      </c>
      <c r="B119" s="483"/>
      <c r="C119" s="483"/>
      <c r="D119" s="483"/>
      <c r="E119" s="483"/>
      <c r="F119" s="483"/>
      <c r="G119" s="483"/>
      <c r="H119" s="104">
        <v>177000</v>
      </c>
    </row>
    <row r="120" spans="1:8" x14ac:dyDescent="0.25">
      <c r="H120" s="104">
        <v>1044847</v>
      </c>
    </row>
    <row r="121" spans="1:8" x14ac:dyDescent="0.25">
      <c r="H121" s="104">
        <f>SUM(H106:H120)</f>
        <v>33396706</v>
      </c>
    </row>
    <row r="122" spans="1:8" ht="18.75" x14ac:dyDescent="0.3">
      <c r="A122" s="104">
        <v>2.5</v>
      </c>
      <c r="B122" s="479" t="s">
        <v>697</v>
      </c>
      <c r="C122" s="479"/>
      <c r="D122" s="479"/>
      <c r="E122" s="479"/>
      <c r="F122" s="479"/>
    </row>
    <row r="123" spans="1:8" x14ac:dyDescent="0.25">
      <c r="H123" s="104">
        <v>33397606</v>
      </c>
    </row>
    <row r="124" spans="1:8" ht="43.5" customHeight="1" x14ac:dyDescent="0.25">
      <c r="B124" s="385" t="s">
        <v>144</v>
      </c>
      <c r="C124" s="300" t="s">
        <v>127</v>
      </c>
      <c r="D124" s="300" t="s">
        <v>150</v>
      </c>
      <c r="E124" s="300" t="s">
        <v>151</v>
      </c>
      <c r="F124" s="300" t="s">
        <v>157</v>
      </c>
      <c r="H124" s="104">
        <f>H121-H123</f>
        <v>-900</v>
      </c>
    </row>
    <row r="125" spans="1:8" x14ac:dyDescent="0.25">
      <c r="B125" s="386"/>
      <c r="C125" s="387"/>
      <c r="D125" s="386"/>
      <c r="E125" s="388"/>
      <c r="F125" s="389">
        <f t="shared" ref="F125:F131" si="10">E125*D125</f>
        <v>0</v>
      </c>
    </row>
    <row r="126" spans="1:8" x14ac:dyDescent="0.25">
      <c r="B126" s="386"/>
      <c r="C126" s="387"/>
      <c r="D126" s="386"/>
      <c r="E126" s="388"/>
      <c r="F126" s="389">
        <f t="shared" si="10"/>
        <v>0</v>
      </c>
    </row>
    <row r="127" spans="1:8" x14ac:dyDescent="0.25">
      <c r="B127" s="386"/>
      <c r="C127" s="387"/>
      <c r="D127" s="386"/>
      <c r="E127" s="388"/>
      <c r="F127" s="389">
        <f t="shared" si="10"/>
        <v>0</v>
      </c>
    </row>
    <row r="128" spans="1:8" x14ac:dyDescent="0.25">
      <c r="B128" s="386"/>
      <c r="C128" s="387"/>
      <c r="D128" s="386"/>
      <c r="E128" s="388"/>
      <c r="F128" s="389">
        <f t="shared" si="10"/>
        <v>0</v>
      </c>
    </row>
    <row r="129" spans="1:7" x14ac:dyDescent="0.25">
      <c r="B129" s="386"/>
      <c r="C129" s="387"/>
      <c r="D129" s="386"/>
      <c r="E129" s="388"/>
      <c r="F129" s="389">
        <f t="shared" si="10"/>
        <v>0</v>
      </c>
    </row>
    <row r="130" spans="1:7" x14ac:dyDescent="0.25">
      <c r="B130" s="386"/>
      <c r="C130" s="387"/>
      <c r="D130" s="386"/>
      <c r="E130" s="388"/>
      <c r="F130" s="389">
        <f t="shared" si="10"/>
        <v>0</v>
      </c>
    </row>
    <row r="131" spans="1:7" x14ac:dyDescent="0.25">
      <c r="B131" s="386"/>
      <c r="C131" s="387"/>
      <c r="D131" s="386"/>
      <c r="E131" s="388"/>
      <c r="F131" s="389">
        <f t="shared" si="10"/>
        <v>0</v>
      </c>
    </row>
    <row r="132" spans="1:7" x14ac:dyDescent="0.25">
      <c r="B132" s="487" t="s">
        <v>1</v>
      </c>
      <c r="C132" s="487"/>
      <c r="D132" s="487"/>
      <c r="E132" s="487"/>
      <c r="F132" s="376">
        <f>SUM(F125:F131)</f>
        <v>0</v>
      </c>
    </row>
    <row r="133" spans="1:7" x14ac:dyDescent="0.25">
      <c r="A133" s="489" t="s">
        <v>436</v>
      </c>
      <c r="B133" s="489"/>
      <c r="C133" s="489"/>
      <c r="D133" s="489"/>
      <c r="E133" s="489"/>
      <c r="F133" s="489"/>
      <c r="G133" s="489"/>
    </row>
    <row r="136" spans="1:7" ht="18.75" x14ac:dyDescent="0.3">
      <c r="A136" s="104">
        <v>2.6</v>
      </c>
      <c r="B136" s="479" t="s">
        <v>247</v>
      </c>
      <c r="C136" s="479"/>
      <c r="D136" s="479"/>
    </row>
    <row r="138" spans="1:7" ht="30" x14ac:dyDescent="0.25">
      <c r="B138" s="385" t="s">
        <v>144</v>
      </c>
      <c r="C138" s="300" t="s">
        <v>127</v>
      </c>
      <c r="D138" s="300" t="s">
        <v>364</v>
      </c>
    </row>
    <row r="139" spans="1:7" x14ac:dyDescent="0.25">
      <c r="B139" s="381">
        <v>1</v>
      </c>
      <c r="C139" s="309" t="s">
        <v>683</v>
      </c>
      <c r="D139" s="378"/>
      <c r="F139" s="104">
        <v>1323000</v>
      </c>
    </row>
    <row r="140" spans="1:7" x14ac:dyDescent="0.25">
      <c r="B140" s="381">
        <v>2</v>
      </c>
      <c r="C140" s="309" t="s">
        <v>690</v>
      </c>
      <c r="D140" s="378"/>
      <c r="F140" s="357">
        <v>67000</v>
      </c>
    </row>
    <row r="141" spans="1:7" x14ac:dyDescent="0.25">
      <c r="B141" s="381"/>
      <c r="C141" s="309"/>
      <c r="D141" s="378"/>
    </row>
    <row r="142" spans="1:7" x14ac:dyDescent="0.25">
      <c r="B142" s="381"/>
      <c r="C142" s="309"/>
      <c r="D142" s="378"/>
    </row>
    <row r="143" spans="1:7" x14ac:dyDescent="0.25">
      <c r="B143" s="391"/>
      <c r="C143" s="305"/>
      <c r="D143" s="378"/>
    </row>
    <row r="144" spans="1:7" x14ac:dyDescent="0.25">
      <c r="B144" s="487" t="s">
        <v>1</v>
      </c>
      <c r="C144" s="487"/>
      <c r="D144" s="380">
        <f>SUM(D139:D142)</f>
        <v>0</v>
      </c>
    </row>
    <row r="146" spans="1:5" ht="33.75" customHeight="1" x14ac:dyDescent="0.25">
      <c r="A146" s="488" t="s">
        <v>437</v>
      </c>
      <c r="B146" s="488"/>
      <c r="C146" s="488"/>
      <c r="D146" s="488"/>
      <c r="E146" s="488"/>
    </row>
  </sheetData>
  <mergeCells count="20">
    <mergeCell ref="B122:F122"/>
    <mergeCell ref="B132:E132"/>
    <mergeCell ref="A146:E146"/>
    <mergeCell ref="B94:F94"/>
    <mergeCell ref="A105:G105"/>
    <mergeCell ref="B144:C144"/>
    <mergeCell ref="A133:G133"/>
    <mergeCell ref="B136:D136"/>
    <mergeCell ref="B2:G2"/>
    <mergeCell ref="A119:G119"/>
    <mergeCell ref="B86:C86"/>
    <mergeCell ref="B108:F108"/>
    <mergeCell ref="B103:E103"/>
    <mergeCell ref="B17:H17"/>
    <mergeCell ref="B83:C83"/>
    <mergeCell ref="B117:E117"/>
    <mergeCell ref="B90:H90"/>
    <mergeCell ref="B73:C73"/>
    <mergeCell ref="B15:G15"/>
    <mergeCell ref="B12:F12"/>
  </mergeCells>
  <pageMargins left="0.7" right="0.7" top="0.75" bottom="0.75" header="0.3" footer="0.3"/>
  <pageSetup paperSize="9" scale="66" orientation="portrait" r:id="rId1"/>
  <rowBreaks count="1" manualBreakCount="1">
    <brk id="8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84" zoomScale="70" zoomScaleNormal="80" zoomScaleSheetLayoutView="70" workbookViewId="0">
      <selection activeCell="A116" sqref="A116"/>
    </sheetView>
  </sheetViews>
  <sheetFormatPr defaultColWidth="10" defaultRowHeight="15" x14ac:dyDescent="0.25"/>
  <cols>
    <col min="1" max="1" width="41.28515625" style="104" customWidth="1"/>
    <col min="2" max="2" width="14.5703125" style="104" customWidth="1"/>
    <col min="3" max="3" width="18.28515625" style="104" bestFit="1" customWidth="1"/>
    <col min="4" max="4" width="18.7109375" style="104" customWidth="1"/>
    <col min="5" max="5" width="17.85546875" style="104" bestFit="1" customWidth="1"/>
    <col min="6" max="8" width="18.28515625" style="104" bestFit="1" customWidth="1"/>
    <col min="9" max="9" width="18.28515625" style="104" customWidth="1"/>
    <col min="10" max="10" width="14.7109375" style="104" customWidth="1"/>
    <col min="11" max="14" width="17.42578125" style="104" bestFit="1" customWidth="1"/>
    <col min="15" max="16" width="17.140625" style="104" bestFit="1" customWidth="1"/>
    <col min="17" max="17" width="17.42578125" style="104" bestFit="1" customWidth="1"/>
    <col min="18" max="16384" width="10" style="104"/>
  </cols>
  <sheetData>
    <row r="2" spans="1:11" ht="18.75" x14ac:dyDescent="0.3">
      <c r="A2" s="482" t="s">
        <v>550</v>
      </c>
      <c r="B2" s="482"/>
      <c r="C2" s="482"/>
      <c r="D2" s="482"/>
      <c r="E2" s="482"/>
      <c r="F2" s="482"/>
      <c r="G2" s="482"/>
      <c r="H2" s="482"/>
      <c r="I2" s="482"/>
      <c r="J2" s="482"/>
      <c r="K2" s="482"/>
    </row>
    <row r="4" spans="1:11" x14ac:dyDescent="0.25">
      <c r="A4" s="150"/>
      <c r="B4" s="150"/>
      <c r="C4" s="150"/>
      <c r="D4" s="150"/>
      <c r="E4" s="105">
        <v>1</v>
      </c>
      <c r="F4" s="122">
        <f>(E4*5%)+E4</f>
        <v>1.05</v>
      </c>
      <c r="G4" s="122">
        <f t="shared" ref="G4:K4" si="0">(F4*5%)+F4</f>
        <v>1.1025</v>
      </c>
      <c r="H4" s="122">
        <f t="shared" si="0"/>
        <v>1.1576250000000001</v>
      </c>
      <c r="I4" s="122">
        <f t="shared" si="0"/>
        <v>1.2155062500000002</v>
      </c>
      <c r="J4" s="122">
        <f t="shared" si="0"/>
        <v>1.2762815625000004</v>
      </c>
      <c r="K4" s="122">
        <f t="shared" si="0"/>
        <v>1.3400956406250004</v>
      </c>
    </row>
    <row r="5" spans="1:11" x14ac:dyDescent="0.25">
      <c r="A5" s="150"/>
      <c r="B5" s="150"/>
      <c r="C5" s="150"/>
      <c r="D5" s="150"/>
      <c r="E5" s="150"/>
      <c r="F5" s="150"/>
      <c r="G5" s="150"/>
      <c r="H5" s="150"/>
      <c r="I5" s="150"/>
      <c r="J5" s="150"/>
      <c r="K5" s="150"/>
    </row>
    <row r="6" spans="1:11" x14ac:dyDescent="0.25">
      <c r="A6" s="165" t="s">
        <v>0</v>
      </c>
      <c r="B6" s="165" t="s">
        <v>131</v>
      </c>
      <c r="C6" s="165" t="s">
        <v>380</v>
      </c>
      <c r="D6" s="165" t="s">
        <v>281</v>
      </c>
      <c r="E6" s="166" t="s">
        <v>2</v>
      </c>
      <c r="F6" s="166" t="s">
        <v>3</v>
      </c>
      <c r="G6" s="166" t="s">
        <v>4</v>
      </c>
      <c r="H6" s="166" t="s">
        <v>5</v>
      </c>
      <c r="I6" s="166" t="s">
        <v>6</v>
      </c>
      <c r="J6" s="166" t="s">
        <v>168</v>
      </c>
      <c r="K6" s="166" t="s">
        <v>167</v>
      </c>
    </row>
    <row r="7" spans="1:11" x14ac:dyDescent="0.25">
      <c r="A7" s="109"/>
      <c r="B7" s="109"/>
      <c r="C7" s="109"/>
      <c r="D7" s="109"/>
      <c r="E7" s="109"/>
      <c r="F7" s="109"/>
      <c r="G7" s="109"/>
      <c r="H7" s="109"/>
      <c r="I7" s="109"/>
      <c r="J7" s="109"/>
      <c r="K7" s="109"/>
    </row>
    <row r="8" spans="1:11" x14ac:dyDescent="0.25">
      <c r="A8" s="109" t="s">
        <v>321</v>
      </c>
      <c r="B8" s="109" t="s">
        <v>381</v>
      </c>
      <c r="C8" s="110">
        <v>1</v>
      </c>
      <c r="D8" s="168">
        <v>35000</v>
      </c>
      <c r="E8" s="156">
        <f>$C8*$D8*12*E$4</f>
        <v>420000</v>
      </c>
      <c r="F8" s="156">
        <f t="shared" ref="F8:K8" si="1">$C8*$D8*12*F$4</f>
        <v>441000</v>
      </c>
      <c r="G8" s="156">
        <f t="shared" si="1"/>
        <v>463050</v>
      </c>
      <c r="H8" s="156">
        <f t="shared" si="1"/>
        <v>486202.50000000006</v>
      </c>
      <c r="I8" s="156">
        <f t="shared" si="1"/>
        <v>510512.62500000012</v>
      </c>
      <c r="J8" s="156">
        <f t="shared" si="1"/>
        <v>536038.25625000009</v>
      </c>
      <c r="K8" s="156">
        <f t="shared" si="1"/>
        <v>562840.16906250012</v>
      </c>
    </row>
    <row r="9" spans="1:11" x14ac:dyDescent="0.25">
      <c r="A9" s="109" t="s">
        <v>188</v>
      </c>
      <c r="B9" s="109" t="s">
        <v>381</v>
      </c>
      <c r="C9" s="110">
        <v>1</v>
      </c>
      <c r="D9" s="168">
        <v>20000</v>
      </c>
      <c r="E9" s="156">
        <f>$C9*$D9*12*E$4</f>
        <v>240000</v>
      </c>
      <c r="F9" s="156">
        <f t="shared" ref="F9:K10" si="2">$C9*$D9*12*F$4</f>
        <v>252000</v>
      </c>
      <c r="G9" s="156">
        <f t="shared" si="2"/>
        <v>264600</v>
      </c>
      <c r="H9" s="156">
        <f t="shared" si="2"/>
        <v>277830.00000000006</v>
      </c>
      <c r="I9" s="156">
        <f t="shared" si="2"/>
        <v>291721.50000000006</v>
      </c>
      <c r="J9" s="156">
        <f t="shared" si="2"/>
        <v>306307.57500000007</v>
      </c>
      <c r="K9" s="156">
        <f t="shared" si="2"/>
        <v>321622.9537500001</v>
      </c>
    </row>
    <row r="10" spans="1:11" x14ac:dyDescent="0.25">
      <c r="A10" s="109" t="s">
        <v>680</v>
      </c>
      <c r="B10" s="109" t="s">
        <v>381</v>
      </c>
      <c r="C10" s="110">
        <v>2</v>
      </c>
      <c r="D10" s="168">
        <v>10000</v>
      </c>
      <c r="E10" s="156">
        <f>$C10*$D10*12*E$4</f>
        <v>240000</v>
      </c>
      <c r="F10" s="156">
        <f t="shared" si="2"/>
        <v>252000</v>
      </c>
      <c r="G10" s="156">
        <f t="shared" si="2"/>
        <v>264600</v>
      </c>
      <c r="H10" s="156">
        <f t="shared" si="2"/>
        <v>277830.00000000006</v>
      </c>
      <c r="I10" s="156">
        <f t="shared" si="2"/>
        <v>291721.50000000006</v>
      </c>
      <c r="J10" s="156">
        <f t="shared" si="2"/>
        <v>306307.57500000007</v>
      </c>
      <c r="K10" s="156">
        <f t="shared" si="2"/>
        <v>321622.9537500001</v>
      </c>
    </row>
    <row r="11" spans="1:11" x14ac:dyDescent="0.25">
      <c r="A11" s="109" t="s">
        <v>681</v>
      </c>
      <c r="B11" s="109" t="s">
        <v>381</v>
      </c>
      <c r="C11" s="109">
        <v>0</v>
      </c>
      <c r="D11" s="168">
        <v>0</v>
      </c>
      <c r="E11" s="156">
        <f>$C11*$D11*E$4</f>
        <v>0</v>
      </c>
      <c r="F11" s="156">
        <f t="shared" ref="F11:K15" si="3">$C11*$D11*F$4</f>
        <v>0</v>
      </c>
      <c r="G11" s="156">
        <f t="shared" si="3"/>
        <v>0</v>
      </c>
      <c r="H11" s="156">
        <f t="shared" si="3"/>
        <v>0</v>
      </c>
      <c r="I11" s="156">
        <f t="shared" si="3"/>
        <v>0</v>
      </c>
      <c r="J11" s="156">
        <f t="shared" si="3"/>
        <v>0</v>
      </c>
      <c r="K11" s="156">
        <f t="shared" si="3"/>
        <v>0</v>
      </c>
    </row>
    <row r="12" spans="1:11" x14ac:dyDescent="0.25">
      <c r="A12" s="109" t="s">
        <v>10</v>
      </c>
      <c r="B12" s="109" t="s">
        <v>382</v>
      </c>
      <c r="C12" s="109">
        <v>12</v>
      </c>
      <c r="D12" s="168">
        <v>2000</v>
      </c>
      <c r="E12" s="156">
        <f t="shared" ref="E12:E15" si="4">$C12*$D12*E$4</f>
        <v>24000</v>
      </c>
      <c r="F12" s="156">
        <f t="shared" si="3"/>
        <v>25200</v>
      </c>
      <c r="G12" s="156">
        <f t="shared" si="3"/>
        <v>26460</v>
      </c>
      <c r="H12" s="156">
        <f t="shared" si="3"/>
        <v>27783.000000000004</v>
      </c>
      <c r="I12" s="156">
        <f t="shared" si="3"/>
        <v>29172.150000000005</v>
      </c>
      <c r="J12" s="156">
        <f t="shared" si="3"/>
        <v>30630.757500000007</v>
      </c>
      <c r="K12" s="156">
        <f t="shared" si="3"/>
        <v>32162.295375000009</v>
      </c>
    </row>
    <row r="13" spans="1:11" x14ac:dyDescent="0.25">
      <c r="A13" s="109" t="s">
        <v>189</v>
      </c>
      <c r="B13" s="109" t="s">
        <v>382</v>
      </c>
      <c r="C13" s="109">
        <v>12</v>
      </c>
      <c r="D13" s="168">
        <v>3000</v>
      </c>
      <c r="E13" s="156">
        <f t="shared" si="4"/>
        <v>36000</v>
      </c>
      <c r="F13" s="156">
        <f t="shared" si="3"/>
        <v>37800</v>
      </c>
      <c r="G13" s="156">
        <f t="shared" si="3"/>
        <v>39690</v>
      </c>
      <c r="H13" s="156">
        <f t="shared" si="3"/>
        <v>41674.500000000007</v>
      </c>
      <c r="I13" s="156">
        <f t="shared" si="3"/>
        <v>43758.225000000006</v>
      </c>
      <c r="J13" s="156">
        <f t="shared" si="3"/>
        <v>45946.13625000001</v>
      </c>
      <c r="K13" s="156">
        <f t="shared" si="3"/>
        <v>48243.443062500017</v>
      </c>
    </row>
    <row r="14" spans="1:11" x14ac:dyDescent="0.25">
      <c r="A14" s="109" t="s">
        <v>159</v>
      </c>
      <c r="B14" s="109" t="s">
        <v>382</v>
      </c>
      <c r="C14" s="109">
        <v>12</v>
      </c>
      <c r="D14" s="168">
        <v>0</v>
      </c>
      <c r="E14" s="156">
        <f t="shared" si="4"/>
        <v>0</v>
      </c>
      <c r="F14" s="156">
        <f t="shared" si="3"/>
        <v>0</v>
      </c>
      <c r="G14" s="156">
        <f t="shared" si="3"/>
        <v>0</v>
      </c>
      <c r="H14" s="156">
        <f t="shared" si="3"/>
        <v>0</v>
      </c>
      <c r="I14" s="156">
        <f t="shared" si="3"/>
        <v>0</v>
      </c>
      <c r="J14" s="156">
        <f t="shared" si="3"/>
        <v>0</v>
      </c>
      <c r="K14" s="156">
        <f t="shared" si="3"/>
        <v>0</v>
      </c>
    </row>
    <row r="15" spans="1:11" x14ac:dyDescent="0.25">
      <c r="A15" s="109" t="s">
        <v>190</v>
      </c>
      <c r="B15" s="109" t="s">
        <v>382</v>
      </c>
      <c r="C15" s="109">
        <v>12</v>
      </c>
      <c r="D15" s="168">
        <v>5000</v>
      </c>
      <c r="E15" s="156">
        <f t="shared" si="4"/>
        <v>60000</v>
      </c>
      <c r="F15" s="156">
        <f t="shared" si="3"/>
        <v>63000</v>
      </c>
      <c r="G15" s="156">
        <f t="shared" si="3"/>
        <v>66150</v>
      </c>
      <c r="H15" s="156">
        <f t="shared" si="3"/>
        <v>69457.500000000015</v>
      </c>
      <c r="I15" s="156">
        <f t="shared" si="3"/>
        <v>72930.375000000015</v>
      </c>
      <c r="J15" s="156">
        <f t="shared" si="3"/>
        <v>76576.893750000017</v>
      </c>
      <c r="K15" s="156">
        <f t="shared" si="3"/>
        <v>80405.738437500026</v>
      </c>
    </row>
    <row r="16" spans="1:11" x14ac:dyDescent="0.25">
      <c r="A16" s="109" t="s">
        <v>191</v>
      </c>
      <c r="B16" s="109" t="s">
        <v>383</v>
      </c>
      <c r="C16" s="109">
        <v>1</v>
      </c>
      <c r="D16" s="168">
        <v>200000</v>
      </c>
      <c r="E16" s="156">
        <f>$D16*E$4*$C16</f>
        <v>200000</v>
      </c>
      <c r="F16" s="156">
        <f t="shared" ref="F16:K22" si="5">$D16*F$4*$C16</f>
        <v>210000</v>
      </c>
      <c r="G16" s="156">
        <f t="shared" si="5"/>
        <v>220500</v>
      </c>
      <c r="H16" s="156">
        <f t="shared" si="5"/>
        <v>231525.00000000003</v>
      </c>
      <c r="I16" s="156">
        <f t="shared" si="5"/>
        <v>243101.25000000006</v>
      </c>
      <c r="J16" s="156">
        <f t="shared" si="5"/>
        <v>255256.31250000006</v>
      </c>
      <c r="K16" s="156">
        <f t="shared" si="5"/>
        <v>268019.1281250001</v>
      </c>
    </row>
    <row r="17" spans="1:17" hidden="1" x14ac:dyDescent="0.25">
      <c r="A17" s="109"/>
      <c r="B17" s="109"/>
      <c r="C17" s="109"/>
      <c r="D17" s="168"/>
      <c r="E17" s="156">
        <f t="shared" ref="E17:E22" si="6">$D17*E$4*$C17</f>
        <v>0</v>
      </c>
      <c r="F17" s="156">
        <f t="shared" si="5"/>
        <v>0</v>
      </c>
      <c r="G17" s="156">
        <f t="shared" si="5"/>
        <v>0</v>
      </c>
      <c r="H17" s="156">
        <f t="shared" si="5"/>
        <v>0</v>
      </c>
      <c r="I17" s="156">
        <f t="shared" si="5"/>
        <v>0</v>
      </c>
      <c r="J17" s="156">
        <f t="shared" si="5"/>
        <v>0</v>
      </c>
      <c r="K17" s="156">
        <f t="shared" si="5"/>
        <v>0</v>
      </c>
    </row>
    <row r="18" spans="1:17" hidden="1" x14ac:dyDescent="0.25">
      <c r="A18" s="109"/>
      <c r="B18" s="109"/>
      <c r="C18" s="109"/>
      <c r="D18" s="168"/>
      <c r="E18" s="156">
        <f t="shared" si="6"/>
        <v>0</v>
      </c>
      <c r="F18" s="156">
        <f t="shared" si="5"/>
        <v>0</v>
      </c>
      <c r="G18" s="156">
        <f t="shared" si="5"/>
        <v>0</v>
      </c>
      <c r="H18" s="156">
        <f t="shared" si="5"/>
        <v>0</v>
      </c>
      <c r="I18" s="156">
        <f t="shared" si="5"/>
        <v>0</v>
      </c>
      <c r="J18" s="156">
        <f t="shared" si="5"/>
        <v>0</v>
      </c>
      <c r="K18" s="156">
        <f t="shared" si="5"/>
        <v>0</v>
      </c>
    </row>
    <row r="19" spans="1:17" hidden="1" x14ac:dyDescent="0.25">
      <c r="A19" s="109"/>
      <c r="B19" s="109"/>
      <c r="C19" s="109"/>
      <c r="D19" s="168"/>
      <c r="E19" s="156">
        <f t="shared" si="6"/>
        <v>0</v>
      </c>
      <c r="F19" s="156">
        <f t="shared" si="5"/>
        <v>0</v>
      </c>
      <c r="G19" s="156">
        <f t="shared" si="5"/>
        <v>0</v>
      </c>
      <c r="H19" s="156">
        <f t="shared" si="5"/>
        <v>0</v>
      </c>
      <c r="I19" s="156">
        <f t="shared" si="5"/>
        <v>0</v>
      </c>
      <c r="J19" s="156">
        <f t="shared" si="5"/>
        <v>0</v>
      </c>
      <c r="K19" s="156">
        <f t="shared" si="5"/>
        <v>0</v>
      </c>
    </row>
    <row r="20" spans="1:17" hidden="1" x14ac:dyDescent="0.25">
      <c r="A20" s="109"/>
      <c r="B20" s="109"/>
      <c r="C20" s="109"/>
      <c r="D20" s="168"/>
      <c r="E20" s="156">
        <f t="shared" si="6"/>
        <v>0</v>
      </c>
      <c r="F20" s="156">
        <f t="shared" si="5"/>
        <v>0</v>
      </c>
      <c r="G20" s="156">
        <f t="shared" si="5"/>
        <v>0</v>
      </c>
      <c r="H20" s="156">
        <f t="shared" si="5"/>
        <v>0</v>
      </c>
      <c r="I20" s="156">
        <f t="shared" si="5"/>
        <v>0</v>
      </c>
      <c r="J20" s="156">
        <f t="shared" si="5"/>
        <v>0</v>
      </c>
      <c r="K20" s="156">
        <f t="shared" si="5"/>
        <v>0</v>
      </c>
    </row>
    <row r="21" spans="1:17" hidden="1" x14ac:dyDescent="0.25">
      <c r="A21" s="109"/>
      <c r="B21" s="109"/>
      <c r="C21" s="109"/>
      <c r="D21" s="168"/>
      <c r="E21" s="156">
        <f t="shared" si="6"/>
        <v>0</v>
      </c>
      <c r="F21" s="156">
        <f t="shared" si="5"/>
        <v>0</v>
      </c>
      <c r="G21" s="156">
        <f t="shared" si="5"/>
        <v>0</v>
      </c>
      <c r="H21" s="156">
        <f t="shared" si="5"/>
        <v>0</v>
      </c>
      <c r="I21" s="156">
        <f t="shared" si="5"/>
        <v>0</v>
      </c>
      <c r="J21" s="156">
        <f t="shared" si="5"/>
        <v>0</v>
      </c>
      <c r="K21" s="156">
        <f t="shared" si="5"/>
        <v>0</v>
      </c>
    </row>
    <row r="22" spans="1:17" hidden="1" x14ac:dyDescent="0.25">
      <c r="A22" s="109"/>
      <c r="B22" s="109"/>
      <c r="C22" s="109"/>
      <c r="D22" s="156"/>
      <c r="E22" s="156">
        <f t="shared" si="6"/>
        <v>0</v>
      </c>
      <c r="F22" s="156">
        <f t="shared" si="5"/>
        <v>0</v>
      </c>
      <c r="G22" s="156">
        <f t="shared" si="5"/>
        <v>0</v>
      </c>
      <c r="H22" s="156">
        <f t="shared" si="5"/>
        <v>0</v>
      </c>
      <c r="I22" s="156">
        <f t="shared" si="5"/>
        <v>0</v>
      </c>
      <c r="J22" s="156">
        <f t="shared" si="5"/>
        <v>0</v>
      </c>
      <c r="K22" s="156">
        <f t="shared" si="5"/>
        <v>0</v>
      </c>
    </row>
    <row r="23" spans="1:17" x14ac:dyDescent="0.25">
      <c r="A23" s="113" t="s">
        <v>130</v>
      </c>
      <c r="B23" s="113"/>
      <c r="C23" s="113"/>
      <c r="D23" s="155"/>
      <c r="E23" s="155">
        <f>SUM(E8:E22)</f>
        <v>1220000</v>
      </c>
      <c r="F23" s="155">
        <f t="shared" ref="F23:K23" si="7">SUM(F8:F22)</f>
        <v>1281000</v>
      </c>
      <c r="G23" s="155">
        <f t="shared" si="7"/>
        <v>1345050</v>
      </c>
      <c r="H23" s="155">
        <f t="shared" si="7"/>
        <v>1412302.5000000002</v>
      </c>
      <c r="I23" s="155">
        <f t="shared" si="7"/>
        <v>1482917.6250000002</v>
      </c>
      <c r="J23" s="155">
        <f t="shared" si="7"/>
        <v>1557063.5062500003</v>
      </c>
      <c r="K23" s="155">
        <f t="shared" si="7"/>
        <v>1634916.6815625005</v>
      </c>
    </row>
    <row r="28" spans="1:17" x14ac:dyDescent="0.25">
      <c r="A28" s="492"/>
      <c r="B28" s="492"/>
      <c r="C28" s="492"/>
      <c r="D28" s="492"/>
      <c r="E28" s="492"/>
      <c r="F28" s="492"/>
      <c r="G28" s="492"/>
      <c r="H28" s="492"/>
      <c r="I28" s="492"/>
      <c r="J28" s="492"/>
      <c r="K28" s="492"/>
      <c r="L28" s="492"/>
      <c r="M28" s="492"/>
      <c r="N28" s="492"/>
      <c r="O28" s="492"/>
    </row>
    <row r="29" spans="1:17" ht="18.75" x14ac:dyDescent="0.3">
      <c r="A29" s="490" t="s">
        <v>551</v>
      </c>
      <c r="B29" s="490"/>
      <c r="C29" s="490"/>
      <c r="D29" s="490"/>
      <c r="E29" s="490"/>
      <c r="F29" s="490"/>
      <c r="G29" s="490"/>
      <c r="H29" s="490"/>
      <c r="I29" s="490"/>
      <c r="J29" s="490"/>
      <c r="K29" s="490"/>
      <c r="L29" s="490"/>
      <c r="M29" s="490"/>
      <c r="N29" s="490"/>
      <c r="O29" s="490"/>
      <c r="P29" s="490"/>
      <c r="Q29" s="490"/>
    </row>
    <row r="30" spans="1:17" s="144" customFormat="1" x14ac:dyDescent="0.25">
      <c r="A30" s="322"/>
      <c r="B30" s="322"/>
      <c r="C30" s="322"/>
      <c r="D30" s="322"/>
      <c r="E30" s="322"/>
      <c r="F30" s="322"/>
      <c r="G30" s="322"/>
      <c r="H30" s="322"/>
      <c r="I30" s="322"/>
      <c r="J30" s="322"/>
      <c r="K30" s="322"/>
      <c r="L30" s="322"/>
      <c r="M30" s="322"/>
      <c r="N30" s="322"/>
      <c r="O30" s="322"/>
    </row>
    <row r="31" spans="1:17" x14ac:dyDescent="0.25">
      <c r="A31" s="493" t="s">
        <v>193</v>
      </c>
      <c r="B31" s="493"/>
      <c r="C31" s="493"/>
      <c r="D31" s="493"/>
      <c r="E31" s="493"/>
      <c r="F31" s="493"/>
      <c r="G31" s="493"/>
      <c r="H31" s="493"/>
      <c r="I31" s="493"/>
      <c r="J31" s="150"/>
      <c r="K31" s="493" t="s">
        <v>194</v>
      </c>
      <c r="L31" s="493"/>
      <c r="M31" s="493"/>
      <c r="N31" s="493"/>
      <c r="O31" s="493"/>
      <c r="P31" s="493"/>
      <c r="Q31" s="493"/>
    </row>
    <row r="32" spans="1:17" x14ac:dyDescent="0.25">
      <c r="A32" s="323" t="s">
        <v>0</v>
      </c>
      <c r="B32" s="324"/>
      <c r="C32" s="239" t="s">
        <v>2</v>
      </c>
      <c r="D32" s="239" t="s">
        <v>3</v>
      </c>
      <c r="E32" s="239" t="s">
        <v>4</v>
      </c>
      <c r="F32" s="239" t="s">
        <v>5</v>
      </c>
      <c r="G32" s="239" t="s">
        <v>6</v>
      </c>
      <c r="H32" s="239" t="s">
        <v>168</v>
      </c>
      <c r="I32" s="239" t="s">
        <v>167</v>
      </c>
      <c r="J32" s="325"/>
      <c r="K32" s="239" t="s">
        <v>2</v>
      </c>
      <c r="L32" s="239" t="s">
        <v>3</v>
      </c>
      <c r="M32" s="239" t="s">
        <v>4</v>
      </c>
      <c r="N32" s="239" t="s">
        <v>5</v>
      </c>
      <c r="O32" s="239" t="s">
        <v>6</v>
      </c>
      <c r="P32" s="239" t="s">
        <v>168</v>
      </c>
      <c r="Q32" s="239" t="s">
        <v>167</v>
      </c>
    </row>
    <row r="33" spans="1:17" x14ac:dyDescent="0.25">
      <c r="A33" s="326" t="s">
        <v>195</v>
      </c>
      <c r="B33" s="133"/>
      <c r="C33" s="133"/>
      <c r="D33" s="133"/>
      <c r="E33" s="133"/>
      <c r="F33" s="133"/>
      <c r="G33" s="327"/>
      <c r="H33" s="327"/>
      <c r="I33" s="327"/>
      <c r="J33" s="133"/>
      <c r="K33" s="133"/>
      <c r="L33" s="133"/>
      <c r="M33" s="133"/>
      <c r="N33" s="133"/>
      <c r="O33" s="327"/>
      <c r="P33" s="327"/>
      <c r="Q33" s="327"/>
    </row>
    <row r="34" spans="1:17" x14ac:dyDescent="0.25">
      <c r="A34" s="326"/>
      <c r="B34" s="133"/>
      <c r="C34" s="133"/>
      <c r="D34" s="133"/>
      <c r="E34" s="133"/>
      <c r="F34" s="133"/>
      <c r="G34" s="327"/>
      <c r="H34" s="327"/>
      <c r="I34" s="327"/>
      <c r="J34" s="133"/>
      <c r="K34" s="133"/>
      <c r="L34" s="133"/>
      <c r="M34" s="133"/>
      <c r="N34" s="133"/>
      <c r="O34" s="327"/>
      <c r="P34" s="327"/>
      <c r="Q34" s="327"/>
    </row>
    <row r="35" spans="1:17" x14ac:dyDescent="0.25">
      <c r="A35" s="328"/>
      <c r="B35" s="328"/>
      <c r="C35" s="133"/>
      <c r="D35" s="133"/>
      <c r="E35" s="133"/>
      <c r="F35" s="133"/>
      <c r="G35" s="133"/>
      <c r="H35" s="133"/>
      <c r="I35" s="133"/>
      <c r="J35" s="133"/>
      <c r="K35" s="133"/>
      <c r="L35" s="133"/>
      <c r="M35" s="133"/>
      <c r="N35" s="133"/>
      <c r="O35" s="133"/>
      <c r="P35" s="133"/>
      <c r="Q35" s="133"/>
    </row>
    <row r="36" spans="1:17" x14ac:dyDescent="0.25">
      <c r="A36" s="329" t="s">
        <v>199</v>
      </c>
      <c r="B36" s="329"/>
      <c r="C36" s="133"/>
      <c r="D36" s="133"/>
      <c r="E36" s="133"/>
      <c r="F36" s="133"/>
      <c r="G36" s="133"/>
      <c r="H36" s="133"/>
      <c r="I36" s="133"/>
      <c r="J36" s="133"/>
      <c r="K36" s="133"/>
      <c r="L36" s="133"/>
      <c r="M36" s="133"/>
      <c r="N36" s="133"/>
      <c r="O36" s="133"/>
      <c r="P36" s="133"/>
      <c r="Q36" s="133"/>
    </row>
    <row r="37" spans="1:17" x14ac:dyDescent="0.25">
      <c r="A37" s="328" t="s">
        <v>196</v>
      </c>
      <c r="B37" s="328"/>
      <c r="C37" s="330">
        <f>'1.Project Cost and MOF'!D5</f>
        <v>23064771</v>
      </c>
      <c r="D37" s="330">
        <f t="shared" ref="D37:I37" si="8">C40</f>
        <v>22333617.759300001</v>
      </c>
      <c r="E37" s="330">
        <f t="shared" si="8"/>
        <v>21602464.518600002</v>
      </c>
      <c r="F37" s="330">
        <f t="shared" si="8"/>
        <v>20871311.277900003</v>
      </c>
      <c r="G37" s="330">
        <f t="shared" si="8"/>
        <v>20140158.037200004</v>
      </c>
      <c r="H37" s="330">
        <f t="shared" si="8"/>
        <v>19409004.796500005</v>
      </c>
      <c r="I37" s="330">
        <f t="shared" si="8"/>
        <v>18677851.555800006</v>
      </c>
      <c r="J37" s="133"/>
      <c r="K37" s="330">
        <f>C37</f>
        <v>23064771</v>
      </c>
      <c r="L37" s="330">
        <f t="shared" ref="L37:Q37" si="9">K40</f>
        <v>20758293.899999999</v>
      </c>
      <c r="M37" s="330">
        <f t="shared" si="9"/>
        <v>18682464.509999998</v>
      </c>
      <c r="N37" s="330">
        <f t="shared" si="9"/>
        <v>16814218.058999997</v>
      </c>
      <c r="O37" s="330">
        <f t="shared" si="9"/>
        <v>15132796.253099997</v>
      </c>
      <c r="P37" s="330">
        <f t="shared" si="9"/>
        <v>13619516.627789997</v>
      </c>
      <c r="Q37" s="330">
        <f t="shared" si="9"/>
        <v>12257564.965010997</v>
      </c>
    </row>
    <row r="38" spans="1:17" x14ac:dyDescent="0.25">
      <c r="A38" s="328" t="s">
        <v>17</v>
      </c>
      <c r="B38" s="328"/>
      <c r="C38" s="330">
        <f t="shared" ref="C38:I38" si="10">$C$37*$B$74</f>
        <v>731153.24069999997</v>
      </c>
      <c r="D38" s="330">
        <f t="shared" si="10"/>
        <v>731153.24069999997</v>
      </c>
      <c r="E38" s="330">
        <f t="shared" si="10"/>
        <v>731153.24069999997</v>
      </c>
      <c r="F38" s="330">
        <f t="shared" si="10"/>
        <v>731153.24069999997</v>
      </c>
      <c r="G38" s="330">
        <f t="shared" si="10"/>
        <v>731153.24069999997</v>
      </c>
      <c r="H38" s="330">
        <f t="shared" si="10"/>
        <v>731153.24069999997</v>
      </c>
      <c r="I38" s="330">
        <f t="shared" si="10"/>
        <v>731153.24069999997</v>
      </c>
      <c r="J38" s="133"/>
      <c r="K38" s="330">
        <f t="shared" ref="K38:Q38" si="11">K37*$C$74</f>
        <v>2306477.1</v>
      </c>
      <c r="L38" s="330">
        <f t="shared" si="11"/>
        <v>2075829.39</v>
      </c>
      <c r="M38" s="330">
        <f t="shared" si="11"/>
        <v>1868246.4509999999</v>
      </c>
      <c r="N38" s="330">
        <f t="shared" si="11"/>
        <v>1681421.8058999998</v>
      </c>
      <c r="O38" s="330">
        <f t="shared" si="11"/>
        <v>1513279.6253099998</v>
      </c>
      <c r="P38" s="330">
        <f t="shared" si="11"/>
        <v>1361951.6627789997</v>
      </c>
      <c r="Q38" s="330">
        <f t="shared" si="11"/>
        <v>1225756.4965010998</v>
      </c>
    </row>
    <row r="39" spans="1:17" x14ac:dyDescent="0.25">
      <c r="A39" s="328" t="s">
        <v>197</v>
      </c>
      <c r="B39" s="328"/>
      <c r="C39" s="330">
        <f>C38</f>
        <v>731153.24069999997</v>
      </c>
      <c r="D39" s="330">
        <f t="shared" ref="D39:I39" si="12">C39+D38</f>
        <v>1462306.4813999999</v>
      </c>
      <c r="E39" s="330">
        <f t="shared" si="12"/>
        <v>2193459.7220999999</v>
      </c>
      <c r="F39" s="330">
        <f t="shared" si="12"/>
        <v>2924612.9627999999</v>
      </c>
      <c r="G39" s="330">
        <f t="shared" si="12"/>
        <v>3655766.2034999998</v>
      </c>
      <c r="H39" s="330">
        <f t="shared" si="12"/>
        <v>4386919.4441999998</v>
      </c>
      <c r="I39" s="330">
        <f t="shared" si="12"/>
        <v>5118072.6848999998</v>
      </c>
      <c r="J39" s="133"/>
      <c r="K39" s="330">
        <f>K38</f>
        <v>2306477.1</v>
      </c>
      <c r="L39" s="330">
        <f t="shared" ref="L39:Q39" si="13">K39+L38</f>
        <v>4382306.49</v>
      </c>
      <c r="M39" s="330">
        <f t="shared" si="13"/>
        <v>6250552.9409999996</v>
      </c>
      <c r="N39" s="330">
        <f t="shared" si="13"/>
        <v>7931974.7468999997</v>
      </c>
      <c r="O39" s="330">
        <f t="shared" si="13"/>
        <v>9445254.3722099997</v>
      </c>
      <c r="P39" s="330">
        <f t="shared" si="13"/>
        <v>10807206.034988999</v>
      </c>
      <c r="Q39" s="330">
        <f t="shared" si="13"/>
        <v>12032962.531490099</v>
      </c>
    </row>
    <row r="40" spans="1:17" x14ac:dyDescent="0.25">
      <c r="A40" s="328" t="s">
        <v>198</v>
      </c>
      <c r="B40" s="328"/>
      <c r="C40" s="330">
        <f t="shared" ref="C40:I40" si="14">C37-C38</f>
        <v>22333617.759300001</v>
      </c>
      <c r="D40" s="330">
        <f t="shared" si="14"/>
        <v>21602464.518600002</v>
      </c>
      <c r="E40" s="330">
        <f t="shared" si="14"/>
        <v>20871311.277900003</v>
      </c>
      <c r="F40" s="330">
        <f t="shared" si="14"/>
        <v>20140158.037200004</v>
      </c>
      <c r="G40" s="330">
        <f t="shared" si="14"/>
        <v>19409004.796500005</v>
      </c>
      <c r="H40" s="330">
        <f t="shared" si="14"/>
        <v>18677851.555800006</v>
      </c>
      <c r="I40" s="330">
        <f t="shared" si="14"/>
        <v>17946698.315100007</v>
      </c>
      <c r="J40" s="133"/>
      <c r="K40" s="330">
        <f t="shared" ref="K40:Q40" si="15">K37-K38</f>
        <v>20758293.899999999</v>
      </c>
      <c r="L40" s="330">
        <f t="shared" si="15"/>
        <v>18682464.509999998</v>
      </c>
      <c r="M40" s="330">
        <f t="shared" si="15"/>
        <v>16814218.058999997</v>
      </c>
      <c r="N40" s="330">
        <f t="shared" si="15"/>
        <v>15132796.253099997</v>
      </c>
      <c r="O40" s="330">
        <f t="shared" si="15"/>
        <v>13619516.627789997</v>
      </c>
      <c r="P40" s="330">
        <f t="shared" si="15"/>
        <v>12257564.965010997</v>
      </c>
      <c r="Q40" s="330">
        <f t="shared" si="15"/>
        <v>11031808.468509898</v>
      </c>
    </row>
    <row r="41" spans="1:17" x14ac:dyDescent="0.25">
      <c r="A41" s="328"/>
      <c r="B41" s="328"/>
      <c r="C41" s="330"/>
      <c r="D41" s="330"/>
      <c r="E41" s="330"/>
      <c r="F41" s="330"/>
      <c r="G41" s="330"/>
      <c r="H41" s="330"/>
      <c r="I41" s="330"/>
      <c r="J41" s="133"/>
      <c r="K41" s="330"/>
      <c r="L41" s="330"/>
      <c r="M41" s="330"/>
      <c r="N41" s="330"/>
      <c r="O41" s="330"/>
      <c r="P41" s="330"/>
      <c r="Q41" s="330"/>
    </row>
    <row r="42" spans="1:17" x14ac:dyDescent="0.25">
      <c r="A42" s="329" t="s">
        <v>200</v>
      </c>
      <c r="B42" s="329"/>
      <c r="C42" s="330"/>
      <c r="D42" s="330"/>
      <c r="E42" s="330"/>
      <c r="F42" s="330"/>
      <c r="G42" s="330"/>
      <c r="H42" s="330"/>
      <c r="I42" s="330"/>
      <c r="J42" s="133"/>
      <c r="K42" s="330"/>
      <c r="L42" s="330"/>
      <c r="M42" s="330"/>
      <c r="N42" s="330"/>
      <c r="O42" s="330"/>
      <c r="P42" s="330"/>
      <c r="Q42" s="330"/>
    </row>
    <row r="43" spans="1:17" x14ac:dyDescent="0.25">
      <c r="A43" s="328" t="s">
        <v>196</v>
      </c>
      <c r="B43" s="328"/>
      <c r="C43" s="330">
        <f>'1.Project Cost and MOF'!D6</f>
        <v>10073106.469999999</v>
      </c>
      <c r="D43" s="330">
        <f t="shared" ref="D43:I43" si="16">C46</f>
        <v>9435478.8304489981</v>
      </c>
      <c r="E43" s="330">
        <f t="shared" si="16"/>
        <v>8797851.1908979975</v>
      </c>
      <c r="F43" s="330">
        <f t="shared" si="16"/>
        <v>8160223.5513469977</v>
      </c>
      <c r="G43" s="330">
        <f t="shared" si="16"/>
        <v>7522595.911795998</v>
      </c>
      <c r="H43" s="330">
        <f t="shared" si="16"/>
        <v>6884968.2722449983</v>
      </c>
      <c r="I43" s="330">
        <f t="shared" si="16"/>
        <v>6247340.6326939985</v>
      </c>
      <c r="J43" s="133"/>
      <c r="K43" s="330">
        <f>C43</f>
        <v>10073106.469999999</v>
      </c>
      <c r="L43" s="330">
        <f t="shared" ref="L43:Q43" si="17">K46</f>
        <v>8562140.499499999</v>
      </c>
      <c r="M43" s="330">
        <f t="shared" si="17"/>
        <v>7277819.4245749991</v>
      </c>
      <c r="N43" s="330">
        <f t="shared" si="17"/>
        <v>6186146.5108887497</v>
      </c>
      <c r="O43" s="330">
        <f t="shared" si="17"/>
        <v>5258224.5342554376</v>
      </c>
      <c r="P43" s="330">
        <f t="shared" si="17"/>
        <v>4469490.8541171215</v>
      </c>
      <c r="Q43" s="330">
        <f t="shared" si="17"/>
        <v>3799067.2259995532</v>
      </c>
    </row>
    <row r="44" spans="1:17" x14ac:dyDescent="0.25">
      <c r="A44" s="328" t="s">
        <v>17</v>
      </c>
      <c r="B44" s="328"/>
      <c r="C44" s="330">
        <f t="shared" ref="C44:I44" si="18">$C$43*$B$78</f>
        <v>637627.63955099985</v>
      </c>
      <c r="D44" s="330">
        <f t="shared" si="18"/>
        <v>637627.63955099985</v>
      </c>
      <c r="E44" s="330">
        <f t="shared" si="18"/>
        <v>637627.63955099985</v>
      </c>
      <c r="F44" s="330">
        <f t="shared" si="18"/>
        <v>637627.63955099985</v>
      </c>
      <c r="G44" s="330">
        <f t="shared" si="18"/>
        <v>637627.63955099985</v>
      </c>
      <c r="H44" s="330">
        <f t="shared" si="18"/>
        <v>637627.63955099985</v>
      </c>
      <c r="I44" s="330">
        <f t="shared" si="18"/>
        <v>637627.63955099985</v>
      </c>
      <c r="J44" s="133"/>
      <c r="K44" s="330">
        <f t="shared" ref="K44:Q44" si="19">K43*$C$78</f>
        <v>1510965.9704999998</v>
      </c>
      <c r="L44" s="330">
        <f t="shared" si="19"/>
        <v>1284321.0749249998</v>
      </c>
      <c r="M44" s="330">
        <f t="shared" si="19"/>
        <v>1091672.9136862499</v>
      </c>
      <c r="N44" s="330">
        <f t="shared" si="19"/>
        <v>927921.97663331241</v>
      </c>
      <c r="O44" s="330">
        <f t="shared" si="19"/>
        <v>788733.68013831566</v>
      </c>
      <c r="P44" s="330">
        <f t="shared" si="19"/>
        <v>670423.62811756821</v>
      </c>
      <c r="Q44" s="330">
        <f t="shared" si="19"/>
        <v>569860.08389993291</v>
      </c>
    </row>
    <row r="45" spans="1:17" x14ac:dyDescent="0.25">
      <c r="A45" s="328" t="s">
        <v>197</v>
      </c>
      <c r="B45" s="328"/>
      <c r="C45" s="330">
        <f>C44</f>
        <v>637627.63955099985</v>
      </c>
      <c r="D45" s="330">
        <f t="shared" ref="D45:I45" si="20">C45+D44</f>
        <v>1275255.2791019997</v>
      </c>
      <c r="E45" s="330">
        <f t="shared" si="20"/>
        <v>1912882.9186529997</v>
      </c>
      <c r="F45" s="330">
        <f t="shared" si="20"/>
        <v>2550510.5582039994</v>
      </c>
      <c r="G45" s="330">
        <f t="shared" si="20"/>
        <v>3188138.1977549992</v>
      </c>
      <c r="H45" s="330">
        <f t="shared" si="20"/>
        <v>3825765.8373059989</v>
      </c>
      <c r="I45" s="330">
        <f t="shared" si="20"/>
        <v>4463393.4768569991</v>
      </c>
      <c r="J45" s="133"/>
      <c r="K45" s="330">
        <f>K44</f>
        <v>1510965.9704999998</v>
      </c>
      <c r="L45" s="330">
        <f t="shared" ref="L45:Q45" si="21">K45+L44</f>
        <v>2795287.0454249997</v>
      </c>
      <c r="M45" s="330">
        <f t="shared" si="21"/>
        <v>3886959.9591112495</v>
      </c>
      <c r="N45" s="330">
        <f t="shared" si="21"/>
        <v>4814881.9357445622</v>
      </c>
      <c r="O45" s="330">
        <f t="shared" si="21"/>
        <v>5603615.6158828782</v>
      </c>
      <c r="P45" s="330">
        <f t="shared" si="21"/>
        <v>6274039.2440004461</v>
      </c>
      <c r="Q45" s="330">
        <f t="shared" si="21"/>
        <v>6843899.327900379</v>
      </c>
    </row>
    <row r="46" spans="1:17" x14ac:dyDescent="0.25">
      <c r="A46" s="328" t="s">
        <v>198</v>
      </c>
      <c r="B46" s="328"/>
      <c r="C46" s="330">
        <f t="shared" ref="C46:I46" si="22">C43-C44</f>
        <v>9435478.8304489981</v>
      </c>
      <c r="D46" s="330">
        <f t="shared" si="22"/>
        <v>8797851.1908979975</v>
      </c>
      <c r="E46" s="330">
        <f t="shared" si="22"/>
        <v>8160223.5513469977</v>
      </c>
      <c r="F46" s="330">
        <f t="shared" si="22"/>
        <v>7522595.911795998</v>
      </c>
      <c r="G46" s="330">
        <f t="shared" si="22"/>
        <v>6884968.2722449983</v>
      </c>
      <c r="H46" s="330">
        <f t="shared" si="22"/>
        <v>6247340.6326939985</v>
      </c>
      <c r="I46" s="330">
        <f t="shared" si="22"/>
        <v>5609712.9931429988</v>
      </c>
      <c r="J46" s="133"/>
      <c r="K46" s="330">
        <f t="shared" ref="K46:Q46" si="23">K43-K44</f>
        <v>8562140.499499999</v>
      </c>
      <c r="L46" s="330">
        <f t="shared" si="23"/>
        <v>7277819.4245749991</v>
      </c>
      <c r="M46" s="330">
        <f t="shared" si="23"/>
        <v>6186146.5108887497</v>
      </c>
      <c r="N46" s="330">
        <f t="shared" si="23"/>
        <v>5258224.5342554376</v>
      </c>
      <c r="O46" s="330">
        <f t="shared" si="23"/>
        <v>4469490.8541171215</v>
      </c>
      <c r="P46" s="330">
        <f t="shared" si="23"/>
        <v>3799067.2259995532</v>
      </c>
      <c r="Q46" s="330">
        <f t="shared" si="23"/>
        <v>3229207.1420996203</v>
      </c>
    </row>
    <row r="47" spans="1:17" hidden="1" x14ac:dyDescent="0.25">
      <c r="A47" s="328"/>
      <c r="B47" s="328"/>
      <c r="C47" s="330"/>
      <c r="D47" s="330"/>
      <c r="E47" s="330"/>
      <c r="F47" s="330"/>
      <c r="G47" s="330"/>
      <c r="H47" s="330"/>
      <c r="I47" s="330"/>
      <c r="J47" s="133"/>
      <c r="K47" s="330"/>
      <c r="L47" s="330"/>
      <c r="M47" s="330"/>
      <c r="N47" s="330"/>
      <c r="O47" s="330"/>
      <c r="P47" s="330"/>
      <c r="Q47" s="330"/>
    </row>
    <row r="48" spans="1:17" hidden="1" x14ac:dyDescent="0.25">
      <c r="A48" s="329" t="s">
        <v>201</v>
      </c>
      <c r="B48" s="329"/>
      <c r="C48" s="330"/>
      <c r="D48" s="330"/>
      <c r="E48" s="330"/>
      <c r="F48" s="330"/>
      <c r="G48" s="330"/>
      <c r="H48" s="330"/>
      <c r="I48" s="330"/>
      <c r="J48" s="133"/>
      <c r="K48" s="330"/>
      <c r="L48" s="330"/>
      <c r="M48" s="330"/>
      <c r="N48" s="330"/>
      <c r="O48" s="330"/>
      <c r="P48" s="330"/>
      <c r="Q48" s="330"/>
    </row>
    <row r="49" spans="1:17" hidden="1" x14ac:dyDescent="0.25">
      <c r="A49" s="328" t="s">
        <v>196</v>
      </c>
      <c r="B49" s="328"/>
      <c r="C49" s="330">
        <f>'1.Project Cost and MOF'!D7</f>
        <v>623479</v>
      </c>
      <c r="D49" s="330">
        <f t="shared" ref="D49:I49" si="24">C52</f>
        <v>561131.1</v>
      </c>
      <c r="E49" s="330">
        <f t="shared" si="24"/>
        <v>498783.19999999995</v>
      </c>
      <c r="F49" s="330">
        <f t="shared" si="24"/>
        <v>436435.29999999993</v>
      </c>
      <c r="G49" s="330">
        <f t="shared" si="24"/>
        <v>374087.39999999991</v>
      </c>
      <c r="H49" s="330">
        <f t="shared" si="24"/>
        <v>311739.49999999988</v>
      </c>
      <c r="I49" s="330">
        <f t="shared" si="24"/>
        <v>249391.59999999989</v>
      </c>
      <c r="J49" s="133"/>
      <c r="K49" s="330">
        <f>C49</f>
        <v>623479</v>
      </c>
      <c r="L49" s="330">
        <f t="shared" ref="L49:Q49" si="25">K52</f>
        <v>561131.1</v>
      </c>
      <c r="M49" s="330">
        <f t="shared" si="25"/>
        <v>505017.99</v>
      </c>
      <c r="N49" s="330">
        <f t="shared" si="25"/>
        <v>454516.19099999999</v>
      </c>
      <c r="O49" s="330">
        <f t="shared" si="25"/>
        <v>409064.57189999998</v>
      </c>
      <c r="P49" s="330">
        <f t="shared" si="25"/>
        <v>368158.11470999999</v>
      </c>
      <c r="Q49" s="330">
        <f t="shared" si="25"/>
        <v>331342.30323899997</v>
      </c>
    </row>
    <row r="50" spans="1:17" hidden="1" x14ac:dyDescent="0.25">
      <c r="A50" s="328" t="s">
        <v>17</v>
      </c>
      <c r="B50" s="328"/>
      <c r="C50" s="330">
        <f t="shared" ref="C50:I50" si="26">$C$49*$B$75</f>
        <v>62347.9</v>
      </c>
      <c r="D50" s="330">
        <f t="shared" si="26"/>
        <v>62347.9</v>
      </c>
      <c r="E50" s="330">
        <f t="shared" si="26"/>
        <v>62347.9</v>
      </c>
      <c r="F50" s="330">
        <f t="shared" si="26"/>
        <v>62347.9</v>
      </c>
      <c r="G50" s="330">
        <f t="shared" si="26"/>
        <v>62347.9</v>
      </c>
      <c r="H50" s="330">
        <f t="shared" si="26"/>
        <v>62347.9</v>
      </c>
      <c r="I50" s="330">
        <f t="shared" si="26"/>
        <v>62347.9</v>
      </c>
      <c r="J50" s="133"/>
      <c r="K50" s="330">
        <f t="shared" ref="K50:Q50" si="27">K49*$C$75</f>
        <v>62347.9</v>
      </c>
      <c r="L50" s="330">
        <f t="shared" si="27"/>
        <v>56113.11</v>
      </c>
      <c r="M50" s="330">
        <f t="shared" si="27"/>
        <v>50501.798999999999</v>
      </c>
      <c r="N50" s="330">
        <f t="shared" si="27"/>
        <v>45451.619100000004</v>
      </c>
      <c r="O50" s="330">
        <f t="shared" si="27"/>
        <v>40906.457190000001</v>
      </c>
      <c r="P50" s="330">
        <f t="shared" si="27"/>
        <v>36815.811471000001</v>
      </c>
      <c r="Q50" s="330">
        <f t="shared" si="27"/>
        <v>33134.230323899996</v>
      </c>
    </row>
    <row r="51" spans="1:17" hidden="1" x14ac:dyDescent="0.25">
      <c r="A51" s="328" t="s">
        <v>197</v>
      </c>
      <c r="B51" s="328"/>
      <c r="C51" s="330">
        <f>C50</f>
        <v>62347.9</v>
      </c>
      <c r="D51" s="330">
        <f t="shared" ref="D51:I51" si="28">C51+D50</f>
        <v>124695.8</v>
      </c>
      <c r="E51" s="330">
        <f t="shared" si="28"/>
        <v>187043.7</v>
      </c>
      <c r="F51" s="330">
        <f t="shared" si="28"/>
        <v>249391.6</v>
      </c>
      <c r="G51" s="330">
        <f t="shared" si="28"/>
        <v>311739.5</v>
      </c>
      <c r="H51" s="330">
        <f t="shared" si="28"/>
        <v>374087.4</v>
      </c>
      <c r="I51" s="330">
        <f t="shared" si="28"/>
        <v>436435.30000000005</v>
      </c>
      <c r="J51" s="133"/>
      <c r="K51" s="330">
        <f>K50</f>
        <v>62347.9</v>
      </c>
      <c r="L51" s="330">
        <f t="shared" ref="L51:Q51" si="29">K51+L50</f>
        <v>118461.01000000001</v>
      </c>
      <c r="M51" s="330">
        <f t="shared" si="29"/>
        <v>168962.80900000001</v>
      </c>
      <c r="N51" s="330">
        <f t="shared" si="29"/>
        <v>214414.42810000002</v>
      </c>
      <c r="O51" s="330">
        <f t="shared" si="29"/>
        <v>255320.88529000001</v>
      </c>
      <c r="P51" s="330">
        <f t="shared" si="29"/>
        <v>292136.69676100003</v>
      </c>
      <c r="Q51" s="330">
        <f t="shared" si="29"/>
        <v>325270.92708490003</v>
      </c>
    </row>
    <row r="52" spans="1:17" hidden="1" x14ac:dyDescent="0.25">
      <c r="A52" s="328" t="s">
        <v>198</v>
      </c>
      <c r="B52" s="328"/>
      <c r="C52" s="330">
        <f t="shared" ref="C52:I52" si="30">C49-C50</f>
        <v>561131.1</v>
      </c>
      <c r="D52" s="330">
        <f t="shared" si="30"/>
        <v>498783.19999999995</v>
      </c>
      <c r="E52" s="330">
        <f t="shared" si="30"/>
        <v>436435.29999999993</v>
      </c>
      <c r="F52" s="330">
        <f t="shared" si="30"/>
        <v>374087.39999999991</v>
      </c>
      <c r="G52" s="330">
        <f t="shared" si="30"/>
        <v>311739.49999999988</v>
      </c>
      <c r="H52" s="330">
        <f t="shared" si="30"/>
        <v>249391.59999999989</v>
      </c>
      <c r="I52" s="330">
        <f t="shared" si="30"/>
        <v>187043.6999999999</v>
      </c>
      <c r="J52" s="133"/>
      <c r="K52" s="330">
        <f t="shared" ref="K52:Q52" si="31">K49-K50</f>
        <v>561131.1</v>
      </c>
      <c r="L52" s="330">
        <f t="shared" si="31"/>
        <v>505017.99</v>
      </c>
      <c r="M52" s="330">
        <f t="shared" si="31"/>
        <v>454516.19099999999</v>
      </c>
      <c r="N52" s="330">
        <f t="shared" si="31"/>
        <v>409064.57189999998</v>
      </c>
      <c r="O52" s="330">
        <f t="shared" si="31"/>
        <v>368158.11470999999</v>
      </c>
      <c r="P52" s="330">
        <f t="shared" si="31"/>
        <v>331342.30323899997</v>
      </c>
      <c r="Q52" s="330">
        <f t="shared" si="31"/>
        <v>298208.07291509997</v>
      </c>
    </row>
    <row r="53" spans="1:17" hidden="1" x14ac:dyDescent="0.25">
      <c r="A53" s="328"/>
      <c r="B53" s="328"/>
      <c r="C53" s="330"/>
      <c r="D53" s="330"/>
      <c r="E53" s="330"/>
      <c r="F53" s="330"/>
      <c r="G53" s="330"/>
      <c r="H53" s="330"/>
      <c r="I53" s="330"/>
      <c r="J53" s="133"/>
      <c r="K53" s="330"/>
      <c r="L53" s="330"/>
      <c r="M53" s="330"/>
      <c r="N53" s="330"/>
      <c r="O53" s="330"/>
      <c r="P53" s="330"/>
      <c r="Q53" s="330"/>
    </row>
    <row r="54" spans="1:17" hidden="1" x14ac:dyDescent="0.25">
      <c r="A54" s="329" t="s">
        <v>158</v>
      </c>
      <c r="B54" s="329"/>
      <c r="C54" s="330"/>
      <c r="D54" s="330"/>
      <c r="E54" s="330"/>
      <c r="F54" s="330"/>
      <c r="G54" s="330"/>
      <c r="H54" s="330"/>
      <c r="I54" s="330"/>
      <c r="J54" s="133"/>
      <c r="K54" s="330"/>
      <c r="L54" s="330"/>
      <c r="M54" s="330"/>
      <c r="N54" s="330"/>
      <c r="O54" s="330"/>
      <c r="P54" s="330"/>
      <c r="Q54" s="330"/>
    </row>
    <row r="55" spans="1:17" hidden="1" x14ac:dyDescent="0.25">
      <c r="A55" s="328" t="s">
        <v>196</v>
      </c>
      <c r="B55" s="328"/>
      <c r="C55" s="330">
        <f>'1.Project Cost and MOF'!D9</f>
        <v>0</v>
      </c>
      <c r="D55" s="330">
        <f t="shared" ref="D55:I55" si="32">C58</f>
        <v>0</v>
      </c>
      <c r="E55" s="330">
        <f t="shared" si="32"/>
        <v>0</v>
      </c>
      <c r="F55" s="330">
        <f t="shared" si="32"/>
        <v>0</v>
      </c>
      <c r="G55" s="330">
        <f t="shared" si="32"/>
        <v>0</v>
      </c>
      <c r="H55" s="330">
        <f t="shared" si="32"/>
        <v>0</v>
      </c>
      <c r="I55" s="330">
        <f t="shared" si="32"/>
        <v>0</v>
      </c>
      <c r="J55" s="133"/>
      <c r="K55" s="330">
        <f>C55</f>
        <v>0</v>
      </c>
      <c r="L55" s="330">
        <f t="shared" ref="L55:Q55" si="33">K58</f>
        <v>0</v>
      </c>
      <c r="M55" s="330">
        <f t="shared" si="33"/>
        <v>0</v>
      </c>
      <c r="N55" s="330">
        <f t="shared" si="33"/>
        <v>0</v>
      </c>
      <c r="O55" s="330">
        <f t="shared" si="33"/>
        <v>0</v>
      </c>
      <c r="P55" s="330">
        <f t="shared" si="33"/>
        <v>0</v>
      </c>
      <c r="Q55" s="330">
        <f t="shared" si="33"/>
        <v>0</v>
      </c>
    </row>
    <row r="56" spans="1:17" hidden="1" x14ac:dyDescent="0.25">
      <c r="A56" s="328" t="s">
        <v>17</v>
      </c>
      <c r="B56" s="328"/>
      <c r="C56" s="330">
        <f t="shared" ref="C56:I56" si="34">$C$55*$B$77</f>
        <v>0</v>
      </c>
      <c r="D56" s="330">
        <f t="shared" si="34"/>
        <v>0</v>
      </c>
      <c r="E56" s="330">
        <f t="shared" si="34"/>
        <v>0</v>
      </c>
      <c r="F56" s="330">
        <f t="shared" si="34"/>
        <v>0</v>
      </c>
      <c r="G56" s="330">
        <f t="shared" si="34"/>
        <v>0</v>
      </c>
      <c r="H56" s="330">
        <f t="shared" si="34"/>
        <v>0</v>
      </c>
      <c r="I56" s="330">
        <f t="shared" si="34"/>
        <v>0</v>
      </c>
      <c r="J56" s="133"/>
      <c r="K56" s="330">
        <f t="shared" ref="K56:Q56" si="35">K55*$C$77</f>
        <v>0</v>
      </c>
      <c r="L56" s="330">
        <f t="shared" si="35"/>
        <v>0</v>
      </c>
      <c r="M56" s="330">
        <f t="shared" si="35"/>
        <v>0</v>
      </c>
      <c r="N56" s="330">
        <f t="shared" si="35"/>
        <v>0</v>
      </c>
      <c r="O56" s="330">
        <f t="shared" si="35"/>
        <v>0</v>
      </c>
      <c r="P56" s="330">
        <f t="shared" si="35"/>
        <v>0</v>
      </c>
      <c r="Q56" s="330">
        <f t="shared" si="35"/>
        <v>0</v>
      </c>
    </row>
    <row r="57" spans="1:17" hidden="1" x14ac:dyDescent="0.25">
      <c r="A57" s="328" t="s">
        <v>197</v>
      </c>
      <c r="B57" s="328"/>
      <c r="C57" s="330">
        <f>C56</f>
        <v>0</v>
      </c>
      <c r="D57" s="330">
        <f t="shared" ref="D57:I57" si="36">C57+D56</f>
        <v>0</v>
      </c>
      <c r="E57" s="330">
        <f t="shared" si="36"/>
        <v>0</v>
      </c>
      <c r="F57" s="330">
        <f t="shared" si="36"/>
        <v>0</v>
      </c>
      <c r="G57" s="330">
        <f t="shared" si="36"/>
        <v>0</v>
      </c>
      <c r="H57" s="330">
        <f t="shared" si="36"/>
        <v>0</v>
      </c>
      <c r="I57" s="330">
        <f t="shared" si="36"/>
        <v>0</v>
      </c>
      <c r="J57" s="133"/>
      <c r="K57" s="330">
        <f>K56</f>
        <v>0</v>
      </c>
      <c r="L57" s="330">
        <f t="shared" ref="L57:Q57" si="37">K57+L56</f>
        <v>0</v>
      </c>
      <c r="M57" s="330">
        <f t="shared" si="37"/>
        <v>0</v>
      </c>
      <c r="N57" s="330">
        <f t="shared" si="37"/>
        <v>0</v>
      </c>
      <c r="O57" s="330">
        <f t="shared" si="37"/>
        <v>0</v>
      </c>
      <c r="P57" s="330">
        <f t="shared" si="37"/>
        <v>0</v>
      </c>
      <c r="Q57" s="330">
        <f t="shared" si="37"/>
        <v>0</v>
      </c>
    </row>
    <row r="58" spans="1:17" hidden="1" x14ac:dyDescent="0.25">
      <c r="A58" s="328" t="s">
        <v>198</v>
      </c>
      <c r="B58" s="328"/>
      <c r="C58" s="330">
        <f t="shared" ref="C58:I58" si="38">C55-C56</f>
        <v>0</v>
      </c>
      <c r="D58" s="330">
        <f t="shared" si="38"/>
        <v>0</v>
      </c>
      <c r="E58" s="330">
        <f t="shared" si="38"/>
        <v>0</v>
      </c>
      <c r="F58" s="330">
        <f t="shared" si="38"/>
        <v>0</v>
      </c>
      <c r="G58" s="330">
        <f t="shared" si="38"/>
        <v>0</v>
      </c>
      <c r="H58" s="330">
        <f t="shared" si="38"/>
        <v>0</v>
      </c>
      <c r="I58" s="330">
        <f t="shared" si="38"/>
        <v>0</v>
      </c>
      <c r="J58" s="133"/>
      <c r="K58" s="330">
        <f t="shared" ref="K58:Q58" si="39">K55-K56</f>
        <v>0</v>
      </c>
      <c r="L58" s="330">
        <f t="shared" si="39"/>
        <v>0</v>
      </c>
      <c r="M58" s="330">
        <f t="shared" si="39"/>
        <v>0</v>
      </c>
      <c r="N58" s="330">
        <f t="shared" si="39"/>
        <v>0</v>
      </c>
      <c r="O58" s="330">
        <f t="shared" si="39"/>
        <v>0</v>
      </c>
      <c r="P58" s="330">
        <f t="shared" si="39"/>
        <v>0</v>
      </c>
      <c r="Q58" s="330">
        <f t="shared" si="39"/>
        <v>0</v>
      </c>
    </row>
    <row r="59" spans="1:17" x14ac:dyDescent="0.25">
      <c r="A59" s="328"/>
      <c r="B59" s="328"/>
      <c r="C59" s="330"/>
      <c r="D59" s="330"/>
      <c r="E59" s="330"/>
      <c r="F59" s="330"/>
      <c r="G59" s="330"/>
      <c r="H59" s="330"/>
      <c r="I59" s="330"/>
      <c r="J59" s="133"/>
      <c r="K59" s="330"/>
      <c r="L59" s="330"/>
      <c r="M59" s="330"/>
      <c r="N59" s="330"/>
      <c r="O59" s="330"/>
      <c r="P59" s="330"/>
      <c r="Q59" s="330"/>
    </row>
    <row r="60" spans="1:17" x14ac:dyDescent="0.25">
      <c r="A60" s="331" t="s">
        <v>323</v>
      </c>
      <c r="B60" s="328"/>
      <c r="C60" s="330"/>
      <c r="D60" s="330"/>
      <c r="E60" s="330"/>
      <c r="F60" s="330"/>
      <c r="G60" s="330"/>
      <c r="H60" s="330"/>
      <c r="I60" s="330"/>
      <c r="J60" s="133"/>
      <c r="K60" s="330"/>
      <c r="L60" s="330"/>
      <c r="M60" s="330"/>
      <c r="N60" s="330"/>
      <c r="O60" s="330"/>
      <c r="P60" s="330"/>
      <c r="Q60" s="330"/>
    </row>
    <row r="61" spans="1:17" x14ac:dyDescent="0.25">
      <c r="A61" s="328" t="str">
        <f>A55</f>
        <v>Asset Value</v>
      </c>
      <c r="B61" s="328"/>
      <c r="C61" s="330">
        <f>'1.Project Cost and MOF'!D8</f>
        <v>917479</v>
      </c>
      <c r="D61" s="330">
        <f t="shared" ref="D61:I61" si="40">C64</f>
        <v>825731.1</v>
      </c>
      <c r="E61" s="330">
        <f t="shared" si="40"/>
        <v>733983.2</v>
      </c>
      <c r="F61" s="330">
        <f t="shared" si="40"/>
        <v>642235.29999999993</v>
      </c>
      <c r="G61" s="330">
        <f t="shared" si="40"/>
        <v>550487.39999999991</v>
      </c>
      <c r="H61" s="330">
        <f t="shared" si="40"/>
        <v>458739.49999999988</v>
      </c>
      <c r="I61" s="330">
        <f t="shared" si="40"/>
        <v>366991.59999999986</v>
      </c>
      <c r="J61" s="133"/>
      <c r="K61" s="330">
        <f>C61</f>
        <v>917479</v>
      </c>
      <c r="L61" s="330">
        <f t="shared" ref="L61:Q61" si="41">K64</f>
        <v>550487.39999999991</v>
      </c>
      <c r="M61" s="330">
        <f t="shared" si="41"/>
        <v>330292.43999999994</v>
      </c>
      <c r="N61" s="330">
        <f t="shared" si="41"/>
        <v>198175.46399999995</v>
      </c>
      <c r="O61" s="330">
        <f t="shared" si="41"/>
        <v>118905.27839999997</v>
      </c>
      <c r="P61" s="330">
        <f t="shared" si="41"/>
        <v>71343.167039999971</v>
      </c>
      <c r="Q61" s="330">
        <f t="shared" si="41"/>
        <v>42805.900223999983</v>
      </c>
    </row>
    <row r="62" spans="1:17" x14ac:dyDescent="0.25">
      <c r="A62" s="328" t="str">
        <f>A56</f>
        <v>Depreciation</v>
      </c>
      <c r="B62" s="328"/>
      <c r="C62" s="330">
        <f t="shared" ref="C62:I62" si="42">$C$61*$B$76</f>
        <v>91747.900000000009</v>
      </c>
      <c r="D62" s="330">
        <f t="shared" si="42"/>
        <v>91747.900000000009</v>
      </c>
      <c r="E62" s="330">
        <f t="shared" si="42"/>
        <v>91747.900000000009</v>
      </c>
      <c r="F62" s="330">
        <f t="shared" si="42"/>
        <v>91747.900000000009</v>
      </c>
      <c r="G62" s="330">
        <f t="shared" si="42"/>
        <v>91747.900000000009</v>
      </c>
      <c r="H62" s="330">
        <f t="shared" si="42"/>
        <v>91747.900000000009</v>
      </c>
      <c r="I62" s="330">
        <f t="shared" si="42"/>
        <v>91747.900000000009</v>
      </c>
      <c r="J62" s="133"/>
      <c r="K62" s="330">
        <f t="shared" ref="K62:Q62" si="43">K61*$C$76</f>
        <v>366991.60000000003</v>
      </c>
      <c r="L62" s="330">
        <f t="shared" si="43"/>
        <v>220194.95999999996</v>
      </c>
      <c r="M62" s="330">
        <f t="shared" si="43"/>
        <v>132116.976</v>
      </c>
      <c r="N62" s="330">
        <f t="shared" si="43"/>
        <v>79270.185599999983</v>
      </c>
      <c r="O62" s="330">
        <f t="shared" si="43"/>
        <v>47562.111359999988</v>
      </c>
      <c r="P62" s="330">
        <f t="shared" si="43"/>
        <v>28537.266815999988</v>
      </c>
      <c r="Q62" s="330">
        <f t="shared" si="43"/>
        <v>17122.360089599995</v>
      </c>
    </row>
    <row r="63" spans="1:17" x14ac:dyDescent="0.25">
      <c r="A63" s="328" t="str">
        <f>A57</f>
        <v>Accumulated Depreciation</v>
      </c>
      <c r="B63" s="328"/>
      <c r="C63" s="330">
        <f>C62</f>
        <v>91747.900000000009</v>
      </c>
      <c r="D63" s="330">
        <f t="shared" ref="D63:I63" si="44">D62+C63</f>
        <v>183495.80000000002</v>
      </c>
      <c r="E63" s="330">
        <f t="shared" si="44"/>
        <v>275243.7</v>
      </c>
      <c r="F63" s="330">
        <f t="shared" si="44"/>
        <v>366991.60000000003</v>
      </c>
      <c r="G63" s="330">
        <f t="shared" si="44"/>
        <v>458739.50000000006</v>
      </c>
      <c r="H63" s="330">
        <f t="shared" si="44"/>
        <v>550487.4</v>
      </c>
      <c r="I63" s="330">
        <f t="shared" si="44"/>
        <v>642235.30000000005</v>
      </c>
      <c r="J63" s="133"/>
      <c r="K63" s="330">
        <f>K62</f>
        <v>366991.60000000003</v>
      </c>
      <c r="L63" s="330">
        <f t="shared" ref="L63:Q63" si="45">L62+K63</f>
        <v>587186.56000000006</v>
      </c>
      <c r="M63" s="330">
        <f t="shared" si="45"/>
        <v>719303.53600000008</v>
      </c>
      <c r="N63" s="330">
        <f t="shared" si="45"/>
        <v>798573.72160000005</v>
      </c>
      <c r="O63" s="330">
        <f t="shared" si="45"/>
        <v>846135.83296000003</v>
      </c>
      <c r="P63" s="330">
        <f t="shared" si="45"/>
        <v>874673.09977600002</v>
      </c>
      <c r="Q63" s="330">
        <f t="shared" si="45"/>
        <v>891795.45986559999</v>
      </c>
    </row>
    <row r="64" spans="1:17" x14ac:dyDescent="0.25">
      <c r="A64" s="328" t="str">
        <f>A58</f>
        <v>Net Fixed Assets</v>
      </c>
      <c r="B64" s="328"/>
      <c r="C64" s="330">
        <f t="shared" ref="C64:I64" si="46">C61-C62</f>
        <v>825731.1</v>
      </c>
      <c r="D64" s="330">
        <f t="shared" si="46"/>
        <v>733983.2</v>
      </c>
      <c r="E64" s="330">
        <f t="shared" si="46"/>
        <v>642235.29999999993</v>
      </c>
      <c r="F64" s="330">
        <f t="shared" si="46"/>
        <v>550487.39999999991</v>
      </c>
      <c r="G64" s="330">
        <f t="shared" si="46"/>
        <v>458739.49999999988</v>
      </c>
      <c r="H64" s="330">
        <f t="shared" si="46"/>
        <v>366991.59999999986</v>
      </c>
      <c r="I64" s="330">
        <f t="shared" si="46"/>
        <v>275243.69999999984</v>
      </c>
      <c r="J64" s="133"/>
      <c r="K64" s="330">
        <f t="shared" ref="K64:Q64" si="47">K61-K62</f>
        <v>550487.39999999991</v>
      </c>
      <c r="L64" s="330">
        <f t="shared" si="47"/>
        <v>330292.43999999994</v>
      </c>
      <c r="M64" s="330">
        <f t="shared" si="47"/>
        <v>198175.46399999995</v>
      </c>
      <c r="N64" s="330">
        <f t="shared" si="47"/>
        <v>118905.27839999997</v>
      </c>
      <c r="O64" s="330">
        <f t="shared" si="47"/>
        <v>71343.167039999971</v>
      </c>
      <c r="P64" s="330">
        <f t="shared" si="47"/>
        <v>42805.900223999983</v>
      </c>
      <c r="Q64" s="330">
        <f t="shared" si="47"/>
        <v>25683.540134399987</v>
      </c>
    </row>
    <row r="65" spans="1:17" x14ac:dyDescent="0.25">
      <c r="A65" s="329" t="s">
        <v>202</v>
      </c>
      <c r="B65" s="329"/>
      <c r="C65" s="332">
        <f t="shared" ref="C65:I68" si="48">C49+C43+C37+C55+C61</f>
        <v>34678835.469999999</v>
      </c>
      <c r="D65" s="332">
        <f t="shared" si="48"/>
        <v>33155958.789749</v>
      </c>
      <c r="E65" s="332">
        <f t="shared" si="48"/>
        <v>31633082.109497998</v>
      </c>
      <c r="F65" s="332">
        <f t="shared" si="48"/>
        <v>30110205.429247003</v>
      </c>
      <c r="G65" s="332">
        <f t="shared" si="48"/>
        <v>28587328.748996001</v>
      </c>
      <c r="H65" s="332">
        <f t="shared" si="48"/>
        <v>27064452.068745002</v>
      </c>
      <c r="I65" s="332">
        <f t="shared" si="48"/>
        <v>25541575.388494007</v>
      </c>
      <c r="J65" s="133"/>
      <c r="K65" s="332">
        <f t="shared" ref="K65:Q68" si="49">K49+K43+K37+K55+K61</f>
        <v>34678835.469999999</v>
      </c>
      <c r="L65" s="332">
        <f t="shared" si="49"/>
        <v>30432052.899499997</v>
      </c>
      <c r="M65" s="332">
        <f t="shared" si="49"/>
        <v>26795594.364574999</v>
      </c>
      <c r="N65" s="332">
        <f t="shared" si="49"/>
        <v>23653056.224888749</v>
      </c>
      <c r="O65" s="332">
        <f t="shared" si="49"/>
        <v>20918990.637655433</v>
      </c>
      <c r="P65" s="332">
        <f t="shared" si="49"/>
        <v>18528508.763657119</v>
      </c>
      <c r="Q65" s="332">
        <f t="shared" si="49"/>
        <v>16430780.394473551</v>
      </c>
    </row>
    <row r="66" spans="1:17" x14ac:dyDescent="0.25">
      <c r="A66" s="329" t="s">
        <v>203</v>
      </c>
      <c r="B66" s="329"/>
      <c r="C66" s="332">
        <f t="shared" si="48"/>
        <v>1522876.6802509998</v>
      </c>
      <c r="D66" s="332">
        <f t="shared" si="48"/>
        <v>1522876.6802509998</v>
      </c>
      <c r="E66" s="332">
        <f t="shared" si="48"/>
        <v>1522876.6802509998</v>
      </c>
      <c r="F66" s="332">
        <f t="shared" si="48"/>
        <v>1522876.6802509998</v>
      </c>
      <c r="G66" s="332">
        <f t="shared" si="48"/>
        <v>1522876.6802509998</v>
      </c>
      <c r="H66" s="332">
        <f t="shared" si="48"/>
        <v>1522876.6802509998</v>
      </c>
      <c r="I66" s="332">
        <f t="shared" si="48"/>
        <v>1522876.6802509998</v>
      </c>
      <c r="J66" s="133"/>
      <c r="K66" s="332">
        <f t="shared" si="49"/>
        <v>4246782.5704999994</v>
      </c>
      <c r="L66" s="332">
        <f t="shared" si="49"/>
        <v>3636458.5349249998</v>
      </c>
      <c r="M66" s="332">
        <f t="shared" si="49"/>
        <v>3142538.1396862497</v>
      </c>
      <c r="N66" s="332">
        <f t="shared" si="49"/>
        <v>2734065.587233312</v>
      </c>
      <c r="O66" s="332">
        <f t="shared" si="49"/>
        <v>2390481.8739983155</v>
      </c>
      <c r="P66" s="332">
        <f t="shared" si="49"/>
        <v>2097728.3691835678</v>
      </c>
      <c r="Q66" s="332">
        <f t="shared" si="49"/>
        <v>1845873.1708145328</v>
      </c>
    </row>
    <row r="67" spans="1:17" x14ac:dyDescent="0.25">
      <c r="A67" s="329" t="s">
        <v>204</v>
      </c>
      <c r="B67" s="329"/>
      <c r="C67" s="332">
        <f t="shared" si="48"/>
        <v>1522876.6802509998</v>
      </c>
      <c r="D67" s="332">
        <f t="shared" si="48"/>
        <v>3045753.3605019995</v>
      </c>
      <c r="E67" s="332">
        <f t="shared" si="48"/>
        <v>4568630.0407530004</v>
      </c>
      <c r="F67" s="332">
        <f t="shared" si="48"/>
        <v>6091506.721003999</v>
      </c>
      <c r="G67" s="332">
        <f t="shared" si="48"/>
        <v>7614383.4012549985</v>
      </c>
      <c r="H67" s="332">
        <f t="shared" si="48"/>
        <v>9137260.081505999</v>
      </c>
      <c r="I67" s="332">
        <f t="shared" si="48"/>
        <v>10660136.761756999</v>
      </c>
      <c r="J67" s="133"/>
      <c r="K67" s="332">
        <f t="shared" si="49"/>
        <v>4246782.5704999994</v>
      </c>
      <c r="L67" s="332">
        <f t="shared" si="49"/>
        <v>7883241.1054250002</v>
      </c>
      <c r="M67" s="332">
        <f t="shared" si="49"/>
        <v>11025779.245111249</v>
      </c>
      <c r="N67" s="332">
        <f t="shared" si="49"/>
        <v>13759844.832344562</v>
      </c>
      <c r="O67" s="332">
        <f t="shared" si="49"/>
        <v>16150326.706342878</v>
      </c>
      <c r="P67" s="332">
        <f t="shared" si="49"/>
        <v>18248055.075526446</v>
      </c>
      <c r="Q67" s="332">
        <f t="shared" si="49"/>
        <v>20093928.246340979</v>
      </c>
    </row>
    <row r="68" spans="1:17" x14ac:dyDescent="0.25">
      <c r="A68" s="329" t="s">
        <v>198</v>
      </c>
      <c r="B68" s="329"/>
      <c r="C68" s="332">
        <f t="shared" si="48"/>
        <v>33155958.789749</v>
      </c>
      <c r="D68" s="332">
        <f t="shared" si="48"/>
        <v>31633082.109497998</v>
      </c>
      <c r="E68" s="332">
        <f t="shared" si="48"/>
        <v>30110205.429247003</v>
      </c>
      <c r="F68" s="332">
        <f t="shared" si="48"/>
        <v>28587328.748996001</v>
      </c>
      <c r="G68" s="332">
        <f t="shared" si="48"/>
        <v>27064452.068745002</v>
      </c>
      <c r="H68" s="332">
        <f t="shared" si="48"/>
        <v>25541575.388494007</v>
      </c>
      <c r="I68" s="332">
        <f t="shared" si="48"/>
        <v>24018698.708243005</v>
      </c>
      <c r="J68" s="133"/>
      <c r="K68" s="332">
        <f t="shared" si="49"/>
        <v>30432052.899499997</v>
      </c>
      <c r="L68" s="332">
        <f t="shared" si="49"/>
        <v>26795594.364574999</v>
      </c>
      <c r="M68" s="332">
        <f t="shared" si="49"/>
        <v>23653056.224888749</v>
      </c>
      <c r="N68" s="332">
        <f t="shared" si="49"/>
        <v>20918990.637655433</v>
      </c>
      <c r="O68" s="332">
        <f t="shared" si="49"/>
        <v>18528508.763657119</v>
      </c>
      <c r="P68" s="332">
        <f t="shared" si="49"/>
        <v>16430780.394473551</v>
      </c>
      <c r="Q68" s="332">
        <f t="shared" si="49"/>
        <v>14584907.223659018</v>
      </c>
    </row>
    <row r="69" spans="1:17" x14ac:dyDescent="0.25">
      <c r="A69" s="333"/>
      <c r="B69" s="333"/>
      <c r="C69" s="334"/>
      <c r="D69" s="334"/>
      <c r="E69" s="334"/>
      <c r="F69" s="334"/>
      <c r="G69" s="334"/>
      <c r="H69" s="334"/>
      <c r="I69" s="334"/>
      <c r="J69" s="150"/>
    </row>
    <row r="70" spans="1:17" x14ac:dyDescent="0.25">
      <c r="A70" s="150"/>
      <c r="B70" s="150"/>
      <c r="C70" s="150"/>
      <c r="D70" s="150"/>
      <c r="E70" s="150"/>
      <c r="F70" s="150"/>
      <c r="G70" s="150"/>
      <c r="H70" s="150"/>
      <c r="I70" s="150"/>
      <c r="J70" s="150"/>
    </row>
    <row r="71" spans="1:17" ht="30" x14ac:dyDescent="0.25">
      <c r="A71" s="335" t="s">
        <v>205</v>
      </c>
      <c r="B71" s="336" t="s">
        <v>206</v>
      </c>
      <c r="C71" s="337" t="s">
        <v>207</v>
      </c>
      <c r="D71" s="150"/>
      <c r="E71" s="150"/>
      <c r="F71" s="150"/>
      <c r="G71" s="150"/>
      <c r="H71" s="150"/>
      <c r="I71" s="150"/>
      <c r="J71" s="150"/>
    </row>
    <row r="72" spans="1:17" ht="30" x14ac:dyDescent="0.25">
      <c r="A72" s="338" t="s">
        <v>208</v>
      </c>
      <c r="B72" s="336" t="s">
        <v>209</v>
      </c>
      <c r="C72" s="337" t="s">
        <v>210</v>
      </c>
      <c r="D72" s="150"/>
      <c r="E72" s="150"/>
      <c r="F72" s="150"/>
      <c r="G72" s="150"/>
      <c r="H72" s="150"/>
      <c r="I72" s="150"/>
      <c r="J72" s="150"/>
    </row>
    <row r="73" spans="1:17" x14ac:dyDescent="0.25">
      <c r="A73" s="338" t="s">
        <v>147</v>
      </c>
      <c r="B73" s="339">
        <v>0</v>
      </c>
      <c r="C73" s="339">
        <v>0</v>
      </c>
      <c r="D73" s="150"/>
      <c r="E73" s="150"/>
      <c r="F73" s="150"/>
      <c r="G73" s="150"/>
      <c r="H73" s="150"/>
      <c r="I73" s="150"/>
      <c r="J73" s="150"/>
    </row>
    <row r="74" spans="1:17" x14ac:dyDescent="0.25">
      <c r="A74" s="340" t="s">
        <v>199</v>
      </c>
      <c r="B74" s="339">
        <v>3.1699999999999999E-2</v>
      </c>
      <c r="C74" s="339">
        <v>0.1</v>
      </c>
      <c r="D74" s="105"/>
      <c r="E74" s="150"/>
      <c r="F74" s="150"/>
      <c r="G74" s="150"/>
      <c r="H74" s="150"/>
      <c r="I74" s="150"/>
      <c r="J74" s="150"/>
    </row>
    <row r="75" spans="1:17" x14ac:dyDescent="0.25">
      <c r="A75" s="340" t="s">
        <v>201</v>
      </c>
      <c r="B75" s="341">
        <v>0.1</v>
      </c>
      <c r="C75" s="339">
        <v>0.1</v>
      </c>
      <c r="D75" s="150"/>
      <c r="E75" s="150"/>
      <c r="F75" s="150"/>
      <c r="G75" s="150"/>
      <c r="H75" s="150"/>
      <c r="I75" s="150"/>
      <c r="J75" s="150"/>
    </row>
    <row r="76" spans="1:17" x14ac:dyDescent="0.25">
      <c r="A76" s="150" t="s">
        <v>211</v>
      </c>
      <c r="B76" s="341">
        <v>0.1</v>
      </c>
      <c r="C76" s="341">
        <v>0.4</v>
      </c>
      <c r="D76" s="150"/>
      <c r="E76" s="150"/>
      <c r="F76" s="150"/>
      <c r="G76" s="150"/>
      <c r="H76" s="150"/>
      <c r="I76" s="150"/>
      <c r="J76" s="150"/>
    </row>
    <row r="77" spans="1:17" x14ac:dyDescent="0.25">
      <c r="A77" s="150" t="s">
        <v>269</v>
      </c>
      <c r="B77" s="341">
        <v>0.1188</v>
      </c>
      <c r="C77" s="341">
        <v>0.15</v>
      </c>
      <c r="D77" s="150"/>
      <c r="E77" s="150"/>
      <c r="F77" s="150"/>
      <c r="G77" s="150"/>
      <c r="H77" s="150"/>
      <c r="I77" s="150"/>
      <c r="J77" s="150"/>
    </row>
    <row r="78" spans="1:17" x14ac:dyDescent="0.25">
      <c r="A78" s="340" t="s">
        <v>212</v>
      </c>
      <c r="B78" s="341">
        <v>6.3299999999999995E-2</v>
      </c>
      <c r="C78" s="341">
        <v>0.15</v>
      </c>
      <c r="D78" s="150"/>
      <c r="E78" s="150"/>
      <c r="F78" s="150"/>
      <c r="G78" s="150"/>
      <c r="H78" s="150"/>
      <c r="I78" s="150"/>
      <c r="J78" s="150"/>
    </row>
    <row r="79" spans="1:17" ht="30" x14ac:dyDescent="0.25">
      <c r="A79" s="338" t="s">
        <v>205</v>
      </c>
      <c r="B79" s="339"/>
      <c r="C79" s="342"/>
      <c r="D79" s="150"/>
      <c r="E79" s="150"/>
      <c r="F79" s="150"/>
      <c r="G79" s="150"/>
      <c r="H79" s="150"/>
      <c r="I79" s="150"/>
      <c r="J79" s="150"/>
    </row>
    <row r="80" spans="1:17" x14ac:dyDescent="0.25">
      <c r="A80" s="340" t="s">
        <v>213</v>
      </c>
      <c r="B80" s="342">
        <v>0.2</v>
      </c>
      <c r="C80" s="343">
        <v>0.2</v>
      </c>
      <c r="D80" s="150"/>
      <c r="E80" s="150"/>
      <c r="F80" s="150"/>
      <c r="G80" s="150"/>
      <c r="H80" s="150"/>
      <c r="I80" s="150"/>
      <c r="J80" s="150"/>
    </row>
    <row r="81" spans="1:12" x14ac:dyDescent="0.25">
      <c r="A81" s="150"/>
      <c r="B81" s="150"/>
      <c r="C81" s="150"/>
      <c r="D81" s="150"/>
      <c r="E81" s="150"/>
      <c r="F81" s="150"/>
      <c r="G81" s="150"/>
      <c r="H81" s="150"/>
      <c r="I81" s="150"/>
      <c r="J81" s="150"/>
    </row>
    <row r="82" spans="1:12" x14ac:dyDescent="0.25">
      <c r="A82" s="150"/>
      <c r="B82" s="150"/>
      <c r="C82" s="150"/>
      <c r="D82" s="150"/>
      <c r="E82" s="120"/>
      <c r="F82" s="150"/>
      <c r="G82" s="150"/>
      <c r="H82" s="150"/>
      <c r="I82" s="150"/>
      <c r="J82" s="150"/>
    </row>
    <row r="83" spans="1:12" s="344" customFormat="1" ht="18.75" x14ac:dyDescent="0.3">
      <c r="A83" s="479" t="s">
        <v>552</v>
      </c>
      <c r="B83" s="479"/>
      <c r="C83" s="479"/>
      <c r="D83" s="479"/>
      <c r="E83" s="479"/>
      <c r="F83" s="479"/>
      <c r="G83" s="479"/>
      <c r="H83" s="479"/>
      <c r="I83" s="479"/>
      <c r="J83" s="290"/>
    </row>
    <row r="84" spans="1:12" s="344" customFormat="1" x14ac:dyDescent="0.25">
      <c r="A84" s="345"/>
      <c r="B84" s="345"/>
    </row>
    <row r="85" spans="1:12" s="344" customFormat="1" x14ac:dyDescent="0.25">
      <c r="A85" s="346" t="s">
        <v>0</v>
      </c>
      <c r="B85" s="347" t="s">
        <v>333</v>
      </c>
      <c r="C85" s="348" t="s">
        <v>2</v>
      </c>
      <c r="D85" s="348" t="s">
        <v>3</v>
      </c>
      <c r="E85" s="348" t="s">
        <v>4</v>
      </c>
      <c r="F85" s="348" t="s">
        <v>5</v>
      </c>
      <c r="G85" s="348" t="s">
        <v>6</v>
      </c>
      <c r="H85" s="348" t="s">
        <v>168</v>
      </c>
      <c r="I85" s="348" t="s">
        <v>167</v>
      </c>
      <c r="J85" s="349"/>
      <c r="K85" s="349"/>
      <c r="L85" s="349"/>
    </row>
    <row r="86" spans="1:12" s="344" customFormat="1" x14ac:dyDescent="0.25">
      <c r="A86" s="350" t="s">
        <v>247</v>
      </c>
      <c r="B86" s="351">
        <v>5</v>
      </c>
      <c r="C86" s="352">
        <f>'1.Project Cost and MOF'!$D$10/5</f>
        <v>0</v>
      </c>
      <c r="D86" s="352">
        <f>'1.Project Cost and MOF'!$D$10/5</f>
        <v>0</v>
      </c>
      <c r="E86" s="352">
        <f>'1.Project Cost and MOF'!$D$10/5</f>
        <v>0</v>
      </c>
      <c r="F86" s="352">
        <f>'1.Project Cost and MOF'!$D$10/5</f>
        <v>0</v>
      </c>
      <c r="G86" s="352">
        <f>'1.Project Cost and MOF'!$D$10/5</f>
        <v>0</v>
      </c>
      <c r="H86" s="352">
        <v>0</v>
      </c>
      <c r="I86" s="352">
        <v>0</v>
      </c>
      <c r="J86" s="349"/>
      <c r="K86" s="349"/>
      <c r="L86" s="349"/>
    </row>
    <row r="87" spans="1:12" s="344" customFormat="1" x14ac:dyDescent="0.25">
      <c r="A87" s="353" t="s">
        <v>334</v>
      </c>
      <c r="B87" s="354"/>
      <c r="C87" s="355">
        <f t="shared" ref="C87:I87" si="50">SUM(C85:C86)</f>
        <v>0</v>
      </c>
      <c r="D87" s="355">
        <f t="shared" si="50"/>
        <v>0</v>
      </c>
      <c r="E87" s="355">
        <f t="shared" si="50"/>
        <v>0</v>
      </c>
      <c r="F87" s="355">
        <f t="shared" si="50"/>
        <v>0</v>
      </c>
      <c r="G87" s="355">
        <f t="shared" si="50"/>
        <v>0</v>
      </c>
      <c r="H87" s="355">
        <f t="shared" si="50"/>
        <v>0</v>
      </c>
      <c r="I87" s="355">
        <f t="shared" si="50"/>
        <v>0</v>
      </c>
      <c r="J87" s="356"/>
      <c r="K87" s="356"/>
      <c r="L87" s="356"/>
    </row>
    <row r="88" spans="1:12" s="344" customFormat="1" x14ac:dyDescent="0.25">
      <c r="C88" s="349"/>
      <c r="D88" s="349"/>
      <c r="E88" s="349"/>
      <c r="F88" s="349"/>
      <c r="G88" s="349"/>
      <c r="H88" s="349"/>
      <c r="I88" s="349"/>
      <c r="J88" s="349"/>
      <c r="K88" s="349"/>
      <c r="L88" s="349"/>
    </row>
    <row r="89" spans="1:12" x14ac:dyDescent="0.25">
      <c r="B89" s="104">
        <f>'1.Project Cost and MOF'!D10</f>
        <v>0</v>
      </c>
      <c r="C89" s="357">
        <f>+B89-C86</f>
        <v>0</v>
      </c>
      <c r="D89" s="357">
        <f>+C89-D86</f>
        <v>0</v>
      </c>
      <c r="E89" s="357">
        <f>+D89-E86</f>
        <v>0</v>
      </c>
      <c r="F89" s="357">
        <f>+E89-F86</f>
        <v>0</v>
      </c>
      <c r="G89" s="357">
        <f>+F89-G86</f>
        <v>0</v>
      </c>
    </row>
    <row r="91" spans="1:12" x14ac:dyDescent="0.25">
      <c r="A91" s="358"/>
      <c r="B91" s="359"/>
      <c r="C91" s="359"/>
      <c r="D91" s="359"/>
      <c r="E91" s="359"/>
      <c r="F91" s="359"/>
      <c r="G91" s="359"/>
      <c r="H91" s="359"/>
      <c r="I91" s="359"/>
      <c r="J91" s="359"/>
      <c r="K91" s="359"/>
    </row>
    <row r="92" spans="1:12" ht="18.75" x14ac:dyDescent="0.3">
      <c r="A92" s="490" t="s">
        <v>553</v>
      </c>
      <c r="B92" s="490"/>
      <c r="C92" s="490"/>
      <c r="D92" s="490"/>
      <c r="E92" s="490"/>
      <c r="F92" s="490"/>
      <c r="G92" s="490"/>
      <c r="H92" s="490"/>
      <c r="I92" s="360"/>
      <c r="J92" s="360"/>
      <c r="K92" s="360"/>
    </row>
    <row r="93" spans="1:12" x14ac:dyDescent="0.25">
      <c r="A93" s="345"/>
      <c r="B93" s="359"/>
      <c r="C93" s="359"/>
      <c r="D93" s="359"/>
      <c r="E93" s="359"/>
      <c r="F93" s="359"/>
      <c r="G93" s="359"/>
      <c r="H93" s="359"/>
      <c r="I93" s="359"/>
      <c r="J93" s="359"/>
      <c r="K93" s="359"/>
    </row>
    <row r="94" spans="1:12" x14ac:dyDescent="0.25">
      <c r="A94" s="165" t="s">
        <v>0</v>
      </c>
      <c r="B94" s="166" t="s">
        <v>2</v>
      </c>
      <c r="C94" s="166" t="s">
        <v>3</v>
      </c>
      <c r="D94" s="166" t="s">
        <v>4</v>
      </c>
      <c r="E94" s="166" t="s">
        <v>5</v>
      </c>
      <c r="F94" s="166" t="s">
        <v>6</v>
      </c>
      <c r="G94" s="166" t="s">
        <v>168</v>
      </c>
      <c r="H94" s="166" t="s">
        <v>167</v>
      </c>
      <c r="I94" s="361"/>
      <c r="J94" s="361"/>
      <c r="K94" s="361"/>
    </row>
    <row r="95" spans="1:12" x14ac:dyDescent="0.25">
      <c r="A95" s="194" t="s">
        <v>219</v>
      </c>
      <c r="B95" s="362">
        <f>'6.Cons Profit &amp; Loss'!B49</f>
        <v>3926040.5164270597</v>
      </c>
      <c r="C95" s="362">
        <f>'6.Cons Profit &amp; Loss'!C49</f>
        <v>4935759.7116021607</v>
      </c>
      <c r="D95" s="362">
        <f>'6.Cons Profit &amp; Loss'!D49</f>
        <v>6602057.2615034664</v>
      </c>
      <c r="E95" s="362">
        <f>'6.Cons Profit &amp; Loss'!E49</f>
        <v>8426966.9009949118</v>
      </c>
      <c r="F95" s="362">
        <f>'6.Cons Profit &amp; Loss'!F49</f>
        <v>10155272.233270794</v>
      </c>
      <c r="G95" s="362">
        <f>'6.Cons Profit &amp; Loss'!G49</f>
        <v>11598847.165632389</v>
      </c>
      <c r="H95" s="362">
        <f>'6.Cons Profit &amp; Loss'!H49</f>
        <v>13152843.574703639</v>
      </c>
      <c r="I95" s="363"/>
      <c r="J95" s="363"/>
      <c r="K95" s="363"/>
    </row>
    <row r="96" spans="1:12" x14ac:dyDescent="0.25">
      <c r="A96" s="194" t="s">
        <v>220</v>
      </c>
      <c r="B96" s="362">
        <f>'6.Cons Profit &amp; Loss'!B42</f>
        <v>1522876.6802509998</v>
      </c>
      <c r="C96" s="362">
        <f>'6.Cons Profit &amp; Loss'!C42</f>
        <v>1522876.6802509998</v>
      </c>
      <c r="D96" s="362">
        <f>'6.Cons Profit &amp; Loss'!D42</f>
        <v>1522876.6802509998</v>
      </c>
      <c r="E96" s="362">
        <f>'6.Cons Profit &amp; Loss'!E42</f>
        <v>1522876.6802509998</v>
      </c>
      <c r="F96" s="362">
        <f>'6.Cons Profit &amp; Loss'!F42</f>
        <v>1522876.6802509998</v>
      </c>
      <c r="G96" s="362">
        <f>'6.Cons Profit &amp; Loss'!G42</f>
        <v>1522876.6802509998</v>
      </c>
      <c r="H96" s="362">
        <f>'6.Cons Profit &amp; Loss'!H42</f>
        <v>1522876.6802509998</v>
      </c>
      <c r="I96" s="363"/>
      <c r="J96" s="363"/>
      <c r="K96" s="363"/>
    </row>
    <row r="97" spans="1:11" x14ac:dyDescent="0.25">
      <c r="A97" s="194" t="s">
        <v>221</v>
      </c>
      <c r="B97" s="362">
        <f>'3.Other Exp &amp; Taxes'!K66</f>
        <v>4246782.5704999994</v>
      </c>
      <c r="C97" s="362">
        <f>'3.Other Exp &amp; Taxes'!L66</f>
        <v>3636458.5349249998</v>
      </c>
      <c r="D97" s="362">
        <f>'3.Other Exp &amp; Taxes'!M66</f>
        <v>3142538.1396862497</v>
      </c>
      <c r="E97" s="362">
        <f>'3.Other Exp &amp; Taxes'!N66</f>
        <v>2734065.587233312</v>
      </c>
      <c r="F97" s="362">
        <f>'3.Other Exp &amp; Taxes'!O66</f>
        <v>2390481.8739983155</v>
      </c>
      <c r="G97" s="362">
        <f>'3.Other Exp &amp; Taxes'!P66</f>
        <v>2097728.3691835678</v>
      </c>
      <c r="H97" s="362">
        <f>'3.Other Exp &amp; Taxes'!Q66</f>
        <v>1845873.1708145328</v>
      </c>
      <c r="I97" s="363"/>
      <c r="J97" s="363"/>
      <c r="K97" s="363"/>
    </row>
    <row r="98" spans="1:11" x14ac:dyDescent="0.25">
      <c r="A98" s="194" t="s">
        <v>282</v>
      </c>
      <c r="B98" s="362">
        <f t="shared" ref="B98:H98" si="51">B95+B96-B97</f>
        <v>1202134.6261780597</v>
      </c>
      <c r="C98" s="362">
        <f t="shared" si="51"/>
        <v>2822177.8569281604</v>
      </c>
      <c r="D98" s="362">
        <f t="shared" si="51"/>
        <v>4982395.8020682167</v>
      </c>
      <c r="E98" s="362">
        <f t="shared" si="51"/>
        <v>7215777.9940125998</v>
      </c>
      <c r="F98" s="362">
        <f t="shared" si="51"/>
        <v>9287667.0395234786</v>
      </c>
      <c r="G98" s="362">
        <f t="shared" si="51"/>
        <v>11023995.476699822</v>
      </c>
      <c r="H98" s="362">
        <f t="shared" si="51"/>
        <v>12829847.084140107</v>
      </c>
      <c r="I98" s="363"/>
      <c r="J98" s="363"/>
      <c r="K98" s="363"/>
    </row>
    <row r="99" spans="1:11" x14ac:dyDescent="0.25">
      <c r="A99" s="196" t="s">
        <v>222</v>
      </c>
      <c r="B99" s="364">
        <f>B98*$B$102</f>
        <v>312555.00280629552</v>
      </c>
      <c r="C99" s="364">
        <f t="shared" ref="C99:H99" si="52">C98*$B$102</f>
        <v>733766.24280132179</v>
      </c>
      <c r="D99" s="364">
        <f t="shared" si="52"/>
        <v>1295422.9085377364</v>
      </c>
      <c r="E99" s="364">
        <f t="shared" si="52"/>
        <v>1876102.278443276</v>
      </c>
      <c r="F99" s="364">
        <f t="shared" si="52"/>
        <v>2414793.4302761047</v>
      </c>
      <c r="G99" s="364">
        <f t="shared" si="52"/>
        <v>2866238.8239419539</v>
      </c>
      <c r="H99" s="364">
        <f t="shared" si="52"/>
        <v>3335760.241876428</v>
      </c>
      <c r="I99" s="363"/>
      <c r="J99" s="363"/>
      <c r="K99" s="363"/>
    </row>
    <row r="100" spans="1:11" x14ac:dyDescent="0.25">
      <c r="A100" s="365"/>
      <c r="B100" s="359"/>
      <c r="C100" s="359"/>
      <c r="D100" s="359"/>
      <c r="E100" s="359"/>
      <c r="F100" s="359"/>
      <c r="G100" s="359"/>
      <c r="H100" s="359"/>
      <c r="I100" s="359"/>
      <c r="J100" s="359"/>
      <c r="K100" s="359"/>
    </row>
    <row r="101" spans="1:11" x14ac:dyDescent="0.25">
      <c r="A101" s="365"/>
      <c r="B101" s="349"/>
      <c r="C101" s="349"/>
      <c r="D101" s="349"/>
      <c r="E101" s="349"/>
      <c r="F101" s="349"/>
      <c r="G101" s="349"/>
      <c r="H101" s="349"/>
      <c r="I101" s="349"/>
      <c r="J101" s="349"/>
      <c r="K101" s="349"/>
    </row>
    <row r="102" spans="1:11" x14ac:dyDescent="0.25">
      <c r="A102" s="366" t="s">
        <v>384</v>
      </c>
      <c r="B102" s="367">
        <v>0.26</v>
      </c>
      <c r="C102" s="349"/>
      <c r="D102" s="349"/>
      <c r="E102" s="349"/>
      <c r="F102" s="349"/>
      <c r="G102" s="349"/>
      <c r="H102" s="349"/>
      <c r="I102" s="349"/>
      <c r="J102" s="349"/>
      <c r="K102" s="349"/>
    </row>
    <row r="103" spans="1:11" x14ac:dyDescent="0.25">
      <c r="A103" s="359"/>
      <c r="B103" s="359"/>
      <c r="C103" s="359"/>
      <c r="D103" s="359"/>
      <c r="E103" s="359"/>
      <c r="F103" s="359"/>
      <c r="G103" s="359"/>
      <c r="H103" s="359"/>
      <c r="I103" s="359"/>
      <c r="J103" s="359"/>
      <c r="K103" s="359"/>
    </row>
    <row r="104" spans="1:11" ht="29.1" customHeight="1" x14ac:dyDescent="0.25">
      <c r="A104" s="491" t="s">
        <v>415</v>
      </c>
      <c r="B104" s="491"/>
      <c r="C104" s="491"/>
      <c r="D104" s="491"/>
      <c r="E104" s="491"/>
      <c r="F104" s="491"/>
      <c r="G104" s="491"/>
      <c r="H104" s="491"/>
      <c r="I104" s="334"/>
      <c r="J104" s="334"/>
      <c r="K104" s="334"/>
    </row>
  </sheetData>
  <mergeCells count="8">
    <mergeCell ref="A92:H92"/>
    <mergeCell ref="A104:H104"/>
    <mergeCell ref="A2:K2"/>
    <mergeCell ref="A28:O28"/>
    <mergeCell ref="K31:Q31"/>
    <mergeCell ref="A29:Q29"/>
    <mergeCell ref="A83:I83"/>
    <mergeCell ref="A31:I31"/>
  </mergeCells>
  <pageMargins left="0.70866141732283472" right="0.70866141732283472" top="0.74803149606299213" bottom="0.74803149606299213" header="0.31496062992125984" footer="0.31496062992125984"/>
  <pageSetup paperSize="9" scale="40" orientation="landscape" r:id="rId1"/>
  <colBreaks count="1" manualBreakCount="1">
    <brk id="17"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2"/>
  <sheetViews>
    <sheetView view="pageBreakPreview" topLeftCell="A61" zoomScale="60" zoomScaleNormal="80" workbookViewId="0">
      <selection activeCell="B98" sqref="B98"/>
    </sheetView>
  </sheetViews>
  <sheetFormatPr defaultColWidth="10" defaultRowHeight="15" x14ac:dyDescent="0.25"/>
  <cols>
    <col min="1" max="1" width="10" style="104"/>
    <col min="2" max="2" width="15.42578125" style="104" customWidth="1"/>
    <col min="3" max="3" width="28.28515625" style="104" customWidth="1"/>
    <col min="4" max="4" width="16.28515625" style="104" customWidth="1"/>
    <col min="5" max="5" width="25.7109375" style="104" customWidth="1"/>
    <col min="6" max="6" width="12.28515625" style="104" customWidth="1"/>
    <col min="7" max="7" width="27.28515625" style="104" customWidth="1"/>
    <col min="8" max="8" width="12.28515625" style="104" customWidth="1"/>
    <col min="9" max="9" width="11.7109375" style="104" customWidth="1"/>
    <col min="10" max="16384" width="10" style="104"/>
  </cols>
  <sheetData>
    <row r="2" spans="1:7" ht="18.75" x14ac:dyDescent="0.3">
      <c r="A2" s="482" t="s">
        <v>554</v>
      </c>
      <c r="B2" s="482"/>
      <c r="C2" s="482"/>
      <c r="D2" s="482"/>
      <c r="E2" s="482"/>
      <c r="F2" s="482"/>
      <c r="G2" s="494"/>
    </row>
    <row r="3" spans="1:7" x14ac:dyDescent="0.25">
      <c r="B3" s="315"/>
      <c r="C3" s="315"/>
      <c r="D3" s="315"/>
      <c r="E3" s="315"/>
      <c r="F3" s="315"/>
      <c r="G3" s="315"/>
    </row>
    <row r="4" spans="1:7" x14ac:dyDescent="0.25">
      <c r="A4" s="150"/>
      <c r="B4" s="150"/>
      <c r="C4" s="150" t="s">
        <v>456</v>
      </c>
      <c r="D4" s="208">
        <f>'1.Project Cost and MOF'!E20</f>
        <v>13429461.6186</v>
      </c>
      <c r="E4" s="150"/>
      <c r="F4" s="150"/>
      <c r="G4" s="150"/>
    </row>
    <row r="5" spans="1:7" x14ac:dyDescent="0.25">
      <c r="A5" s="150"/>
      <c r="B5" s="150"/>
      <c r="C5" s="150" t="s">
        <v>457</v>
      </c>
      <c r="D5" s="316">
        <v>0.12</v>
      </c>
      <c r="E5" s="150"/>
      <c r="F5" s="150"/>
      <c r="G5" s="150"/>
    </row>
    <row r="6" spans="1:7" x14ac:dyDescent="0.25">
      <c r="A6" s="150"/>
      <c r="B6" s="150"/>
      <c r="C6" s="150" t="s">
        <v>458</v>
      </c>
      <c r="D6" s="317">
        <v>4</v>
      </c>
      <c r="E6" s="150"/>
      <c r="F6" s="150"/>
      <c r="G6" s="150"/>
    </row>
    <row r="7" spans="1:7" x14ac:dyDescent="0.25">
      <c r="A7" s="150"/>
      <c r="B7" s="150"/>
      <c r="C7" s="150" t="s">
        <v>459</v>
      </c>
      <c r="D7" s="317">
        <v>6</v>
      </c>
      <c r="E7" s="150"/>
      <c r="F7" s="150"/>
      <c r="G7" s="150"/>
    </row>
    <row r="8" spans="1:7" x14ac:dyDescent="0.25">
      <c r="A8" s="150"/>
      <c r="B8" s="150"/>
      <c r="C8" s="150" t="s">
        <v>22</v>
      </c>
      <c r="D8" s="318">
        <f>PMT(D5/12,(D6-(D7/12))*12,-D4)</f>
        <v>393155.89620555966</v>
      </c>
      <c r="E8" s="318"/>
      <c r="F8" s="319"/>
      <c r="G8" s="150"/>
    </row>
    <row r="9" spans="1:7" x14ac:dyDescent="0.25">
      <c r="A9" s="165" t="s">
        <v>283</v>
      </c>
      <c r="B9" s="320" t="s">
        <v>18</v>
      </c>
      <c r="C9" s="321" t="s">
        <v>19</v>
      </c>
      <c r="D9" s="321" t="s">
        <v>20</v>
      </c>
      <c r="E9" s="321" t="s">
        <v>21</v>
      </c>
      <c r="F9" s="321" t="s">
        <v>22</v>
      </c>
      <c r="G9" s="321" t="s">
        <v>23</v>
      </c>
    </row>
    <row r="10" spans="1:7" x14ac:dyDescent="0.25">
      <c r="A10" s="109" t="s">
        <v>11</v>
      </c>
      <c r="B10" s="109" t="s">
        <v>51</v>
      </c>
      <c r="C10" s="156">
        <f>D4</f>
        <v>13429461.6186</v>
      </c>
      <c r="D10" s="156">
        <f t="shared" ref="D10:D41" si="0">C10*$D$5/12</f>
        <v>134294.616186</v>
      </c>
      <c r="E10" s="156">
        <f t="shared" ref="E10:E15" si="1">F10-D10</f>
        <v>0</v>
      </c>
      <c r="F10" s="156">
        <f>D10</f>
        <v>134294.616186</v>
      </c>
      <c r="G10" s="156">
        <f>C10-E10</f>
        <v>13429461.6186</v>
      </c>
    </row>
    <row r="11" spans="1:7" x14ac:dyDescent="0.25">
      <c r="A11" s="109"/>
      <c r="B11" s="109" t="s">
        <v>52</v>
      </c>
      <c r="C11" s="156">
        <f>G10</f>
        <v>13429461.6186</v>
      </c>
      <c r="D11" s="156">
        <f t="shared" si="0"/>
        <v>134294.616186</v>
      </c>
      <c r="E11" s="156">
        <f t="shared" si="1"/>
        <v>0</v>
      </c>
      <c r="F11" s="156">
        <f t="shared" ref="F11:F15" si="2">D11</f>
        <v>134294.616186</v>
      </c>
      <c r="G11" s="156">
        <f t="shared" ref="G11:G74" si="3">C11-E11</f>
        <v>13429461.6186</v>
      </c>
    </row>
    <row r="12" spans="1:7" x14ac:dyDescent="0.25">
      <c r="A12" s="109"/>
      <c r="B12" s="109" t="s">
        <v>53</v>
      </c>
      <c r="C12" s="156">
        <f t="shared" ref="C12:C75" si="4">G11</f>
        <v>13429461.6186</v>
      </c>
      <c r="D12" s="156">
        <f t="shared" si="0"/>
        <v>134294.616186</v>
      </c>
      <c r="E12" s="156">
        <f t="shared" si="1"/>
        <v>0</v>
      </c>
      <c r="F12" s="156">
        <f t="shared" si="2"/>
        <v>134294.616186</v>
      </c>
      <c r="G12" s="156">
        <f t="shared" si="3"/>
        <v>13429461.6186</v>
      </c>
    </row>
    <row r="13" spans="1:7" x14ac:dyDescent="0.25">
      <c r="A13" s="109"/>
      <c r="B13" s="109" t="s">
        <v>54</v>
      </c>
      <c r="C13" s="156">
        <f t="shared" si="4"/>
        <v>13429461.6186</v>
      </c>
      <c r="D13" s="156">
        <f t="shared" si="0"/>
        <v>134294.616186</v>
      </c>
      <c r="E13" s="156">
        <f t="shared" si="1"/>
        <v>0</v>
      </c>
      <c r="F13" s="156">
        <f t="shared" si="2"/>
        <v>134294.616186</v>
      </c>
      <c r="G13" s="156">
        <f t="shared" si="3"/>
        <v>13429461.6186</v>
      </c>
    </row>
    <row r="14" spans="1:7" x14ac:dyDescent="0.25">
      <c r="A14" s="109"/>
      <c r="B14" s="109" t="s">
        <v>55</v>
      </c>
      <c r="C14" s="156">
        <f t="shared" si="4"/>
        <v>13429461.6186</v>
      </c>
      <c r="D14" s="156">
        <f t="shared" si="0"/>
        <v>134294.616186</v>
      </c>
      <c r="E14" s="156">
        <f t="shared" si="1"/>
        <v>0</v>
      </c>
      <c r="F14" s="156">
        <f t="shared" si="2"/>
        <v>134294.616186</v>
      </c>
      <c r="G14" s="156">
        <f t="shared" si="3"/>
        <v>13429461.6186</v>
      </c>
    </row>
    <row r="15" spans="1:7" x14ac:dyDescent="0.25">
      <c r="A15" s="109"/>
      <c r="B15" s="109" t="s">
        <v>56</v>
      </c>
      <c r="C15" s="156">
        <f t="shared" si="4"/>
        <v>13429461.6186</v>
      </c>
      <c r="D15" s="156">
        <f t="shared" si="0"/>
        <v>134294.616186</v>
      </c>
      <c r="E15" s="156">
        <f t="shared" si="1"/>
        <v>0</v>
      </c>
      <c r="F15" s="156">
        <f t="shared" si="2"/>
        <v>134294.616186</v>
      </c>
      <c r="G15" s="156">
        <f t="shared" si="3"/>
        <v>13429461.6186</v>
      </c>
    </row>
    <row r="16" spans="1:7" x14ac:dyDescent="0.25">
      <c r="A16" s="109"/>
      <c r="B16" s="109" t="s">
        <v>57</v>
      </c>
      <c r="C16" s="156">
        <f t="shared" si="4"/>
        <v>13429461.6186</v>
      </c>
      <c r="D16" s="156">
        <f t="shared" si="0"/>
        <v>134294.616186</v>
      </c>
      <c r="E16" s="156">
        <f>F16-D16</f>
        <v>258861.28001955966</v>
      </c>
      <c r="F16" s="156">
        <f t="shared" ref="F16:F22" si="5">$D$8</f>
        <v>393155.89620555966</v>
      </c>
      <c r="G16" s="156">
        <f t="shared" si="3"/>
        <v>13170600.338580441</v>
      </c>
    </row>
    <row r="17" spans="1:9" x14ac:dyDescent="0.25">
      <c r="A17" s="109"/>
      <c r="B17" s="109" t="s">
        <v>58</v>
      </c>
      <c r="C17" s="156">
        <f t="shared" si="4"/>
        <v>13170600.338580441</v>
      </c>
      <c r="D17" s="156">
        <f t="shared" si="0"/>
        <v>131706.00338580439</v>
      </c>
      <c r="E17" s="156">
        <f t="shared" ref="E17:E80" si="6">F17-D17</f>
        <v>261449.89281975527</v>
      </c>
      <c r="F17" s="156">
        <f t="shared" si="5"/>
        <v>393155.89620555966</v>
      </c>
      <c r="G17" s="156">
        <f t="shared" si="3"/>
        <v>12909150.445760686</v>
      </c>
    </row>
    <row r="18" spans="1:9" x14ac:dyDescent="0.25">
      <c r="A18" s="109"/>
      <c r="B18" s="109" t="s">
        <v>59</v>
      </c>
      <c r="C18" s="156">
        <f t="shared" si="4"/>
        <v>12909150.445760686</v>
      </c>
      <c r="D18" s="156">
        <f t="shared" si="0"/>
        <v>129091.50445760686</v>
      </c>
      <c r="E18" s="156">
        <f t="shared" si="6"/>
        <v>264064.39174795279</v>
      </c>
      <c r="F18" s="156">
        <f t="shared" si="5"/>
        <v>393155.89620555966</v>
      </c>
      <c r="G18" s="156">
        <f t="shared" si="3"/>
        <v>12645086.054012733</v>
      </c>
    </row>
    <row r="19" spans="1:9" x14ac:dyDescent="0.25">
      <c r="A19" s="109"/>
      <c r="B19" s="109" t="s">
        <v>60</v>
      </c>
      <c r="C19" s="156">
        <f t="shared" si="4"/>
        <v>12645086.054012733</v>
      </c>
      <c r="D19" s="156">
        <f t="shared" si="0"/>
        <v>126450.86054012732</v>
      </c>
      <c r="E19" s="156">
        <f t="shared" si="6"/>
        <v>266705.03566543234</v>
      </c>
      <c r="F19" s="156">
        <f t="shared" si="5"/>
        <v>393155.89620555966</v>
      </c>
      <c r="G19" s="156">
        <f t="shared" si="3"/>
        <v>12378381.018347301</v>
      </c>
    </row>
    <row r="20" spans="1:9" x14ac:dyDescent="0.25">
      <c r="A20" s="109"/>
      <c r="B20" s="109" t="s">
        <v>61</v>
      </c>
      <c r="C20" s="156">
        <f t="shared" si="4"/>
        <v>12378381.018347301</v>
      </c>
      <c r="D20" s="156">
        <f t="shared" si="0"/>
        <v>123783.810183473</v>
      </c>
      <c r="E20" s="156">
        <f t="shared" si="6"/>
        <v>269372.08602208667</v>
      </c>
      <c r="F20" s="156">
        <f t="shared" si="5"/>
        <v>393155.89620555966</v>
      </c>
      <c r="G20" s="156">
        <f t="shared" si="3"/>
        <v>12109008.932325214</v>
      </c>
    </row>
    <row r="21" spans="1:9" x14ac:dyDescent="0.25">
      <c r="A21" s="109"/>
      <c r="B21" s="109" t="s">
        <v>62</v>
      </c>
      <c r="C21" s="156">
        <f t="shared" si="4"/>
        <v>12109008.932325214</v>
      </c>
      <c r="D21" s="156">
        <f t="shared" si="0"/>
        <v>121090.08932325213</v>
      </c>
      <c r="E21" s="156">
        <f t="shared" si="6"/>
        <v>272065.80688230752</v>
      </c>
      <c r="F21" s="156">
        <f t="shared" si="5"/>
        <v>393155.89620555966</v>
      </c>
      <c r="G21" s="156">
        <f t="shared" si="3"/>
        <v>11836943.125442907</v>
      </c>
      <c r="H21" s="224"/>
      <c r="I21" s="224"/>
    </row>
    <row r="22" spans="1:9" x14ac:dyDescent="0.25">
      <c r="A22" s="109" t="s">
        <v>12</v>
      </c>
      <c r="B22" s="109" t="s">
        <v>63</v>
      </c>
      <c r="C22" s="156">
        <f t="shared" si="4"/>
        <v>11836943.125442907</v>
      </c>
      <c r="D22" s="156">
        <f t="shared" si="0"/>
        <v>118369.43125442906</v>
      </c>
      <c r="E22" s="156">
        <f t="shared" si="6"/>
        <v>274786.46495113062</v>
      </c>
      <c r="F22" s="156">
        <f t="shared" si="5"/>
        <v>393155.89620555966</v>
      </c>
      <c r="G22" s="156">
        <f t="shared" si="3"/>
        <v>11562156.660491776</v>
      </c>
    </row>
    <row r="23" spans="1:9" x14ac:dyDescent="0.25">
      <c r="A23" s="109"/>
      <c r="B23" s="109" t="s">
        <v>64</v>
      </c>
      <c r="C23" s="156">
        <f t="shared" si="4"/>
        <v>11562156.660491776</v>
      </c>
      <c r="D23" s="156">
        <f t="shared" si="0"/>
        <v>115621.56660491775</v>
      </c>
      <c r="E23" s="156">
        <f t="shared" si="6"/>
        <v>277534.32960064191</v>
      </c>
      <c r="F23" s="156">
        <f t="shared" ref="F23:F57" si="7">$D$8</f>
        <v>393155.89620555966</v>
      </c>
      <c r="G23" s="156">
        <f t="shared" si="3"/>
        <v>11284622.330891134</v>
      </c>
    </row>
    <row r="24" spans="1:9" x14ac:dyDescent="0.25">
      <c r="A24" s="109"/>
      <c r="B24" s="109" t="s">
        <v>65</v>
      </c>
      <c r="C24" s="156">
        <f t="shared" si="4"/>
        <v>11284622.330891134</v>
      </c>
      <c r="D24" s="156">
        <f t="shared" si="0"/>
        <v>112846.22330891133</v>
      </c>
      <c r="E24" s="156">
        <f t="shared" si="6"/>
        <v>280309.67289664835</v>
      </c>
      <c r="F24" s="156">
        <f t="shared" si="7"/>
        <v>393155.89620555966</v>
      </c>
      <c r="G24" s="156">
        <f t="shared" si="3"/>
        <v>11004312.657994486</v>
      </c>
    </row>
    <row r="25" spans="1:9" x14ac:dyDescent="0.25">
      <c r="A25" s="109"/>
      <c r="B25" s="109" t="s">
        <v>66</v>
      </c>
      <c r="C25" s="156">
        <f t="shared" si="4"/>
        <v>11004312.657994486</v>
      </c>
      <c r="D25" s="156">
        <f t="shared" si="0"/>
        <v>110043.12657994486</v>
      </c>
      <c r="E25" s="156">
        <f t="shared" si="6"/>
        <v>283112.7696256148</v>
      </c>
      <c r="F25" s="156">
        <f t="shared" si="7"/>
        <v>393155.89620555966</v>
      </c>
      <c r="G25" s="156">
        <f t="shared" si="3"/>
        <v>10721199.888368871</v>
      </c>
    </row>
    <row r="26" spans="1:9" x14ac:dyDescent="0.25">
      <c r="A26" s="109"/>
      <c r="B26" s="109" t="s">
        <v>67</v>
      </c>
      <c r="C26" s="156">
        <f t="shared" si="4"/>
        <v>10721199.888368871</v>
      </c>
      <c r="D26" s="156">
        <f t="shared" si="0"/>
        <v>107211.99888368871</v>
      </c>
      <c r="E26" s="156">
        <f t="shared" si="6"/>
        <v>285943.89732187096</v>
      </c>
      <c r="F26" s="156">
        <f t="shared" si="7"/>
        <v>393155.89620555966</v>
      </c>
      <c r="G26" s="156">
        <f t="shared" si="3"/>
        <v>10435255.991047001</v>
      </c>
    </row>
    <row r="27" spans="1:9" x14ac:dyDescent="0.25">
      <c r="A27" s="109"/>
      <c r="B27" s="109" t="s">
        <v>68</v>
      </c>
      <c r="C27" s="156">
        <f t="shared" si="4"/>
        <v>10435255.991047001</v>
      </c>
      <c r="D27" s="156">
        <f t="shared" si="0"/>
        <v>104352.55991046999</v>
      </c>
      <c r="E27" s="156">
        <f t="shared" si="6"/>
        <v>288803.33629508968</v>
      </c>
      <c r="F27" s="156">
        <f t="shared" si="7"/>
        <v>393155.89620555966</v>
      </c>
      <c r="G27" s="156">
        <f t="shared" si="3"/>
        <v>10146452.654751912</v>
      </c>
    </row>
    <row r="28" spans="1:9" x14ac:dyDescent="0.25">
      <c r="A28" s="109"/>
      <c r="B28" s="109" t="s">
        <v>69</v>
      </c>
      <c r="C28" s="156">
        <f t="shared" si="4"/>
        <v>10146452.654751912</v>
      </c>
      <c r="D28" s="156">
        <f t="shared" si="0"/>
        <v>101464.52654751913</v>
      </c>
      <c r="E28" s="156">
        <f t="shared" si="6"/>
        <v>291691.36965804052</v>
      </c>
      <c r="F28" s="156">
        <f t="shared" si="7"/>
        <v>393155.89620555966</v>
      </c>
      <c r="G28" s="156">
        <f t="shared" si="3"/>
        <v>9854761.2850938719</v>
      </c>
    </row>
    <row r="29" spans="1:9" x14ac:dyDescent="0.25">
      <c r="A29" s="109"/>
      <c r="B29" s="109" t="s">
        <v>70</v>
      </c>
      <c r="C29" s="156">
        <f t="shared" si="4"/>
        <v>9854761.2850938719</v>
      </c>
      <c r="D29" s="156">
        <f t="shared" si="0"/>
        <v>98547.612850938705</v>
      </c>
      <c r="E29" s="156">
        <f t="shared" si="6"/>
        <v>294608.28335462097</v>
      </c>
      <c r="F29" s="156">
        <f t="shared" si="7"/>
        <v>393155.89620555966</v>
      </c>
      <c r="G29" s="156">
        <f t="shared" si="3"/>
        <v>9560153.0017392505</v>
      </c>
    </row>
    <row r="30" spans="1:9" x14ac:dyDescent="0.25">
      <c r="A30" s="109"/>
      <c r="B30" s="109" t="s">
        <v>71</v>
      </c>
      <c r="C30" s="156">
        <f t="shared" si="4"/>
        <v>9560153.0017392505</v>
      </c>
      <c r="D30" s="156">
        <f t="shared" si="0"/>
        <v>95601.530017392492</v>
      </c>
      <c r="E30" s="156">
        <f t="shared" si="6"/>
        <v>297554.36618816719</v>
      </c>
      <c r="F30" s="156">
        <f t="shared" si="7"/>
        <v>393155.89620555966</v>
      </c>
      <c r="G30" s="156">
        <f t="shared" si="3"/>
        <v>9262598.6355510838</v>
      </c>
    </row>
    <row r="31" spans="1:9" x14ac:dyDescent="0.25">
      <c r="A31" s="109"/>
      <c r="B31" s="109" t="s">
        <v>72</v>
      </c>
      <c r="C31" s="156">
        <f t="shared" si="4"/>
        <v>9262598.6355510838</v>
      </c>
      <c r="D31" s="156">
        <f t="shared" si="0"/>
        <v>92625.986355510831</v>
      </c>
      <c r="E31" s="156">
        <f t="shared" si="6"/>
        <v>300529.90985004883</v>
      </c>
      <c r="F31" s="156">
        <f t="shared" si="7"/>
        <v>393155.89620555966</v>
      </c>
      <c r="G31" s="156">
        <f t="shared" si="3"/>
        <v>8962068.7257010341</v>
      </c>
    </row>
    <row r="32" spans="1:9" x14ac:dyDescent="0.25">
      <c r="A32" s="109"/>
      <c r="B32" s="109" t="s">
        <v>73</v>
      </c>
      <c r="C32" s="156">
        <f t="shared" si="4"/>
        <v>8962068.7257010341</v>
      </c>
      <c r="D32" s="156">
        <f t="shared" si="0"/>
        <v>89620.68725701033</v>
      </c>
      <c r="E32" s="156">
        <f t="shared" si="6"/>
        <v>303535.20894854935</v>
      </c>
      <c r="F32" s="156">
        <f t="shared" si="7"/>
        <v>393155.89620555966</v>
      </c>
      <c r="G32" s="156">
        <f t="shared" si="3"/>
        <v>8658533.5167524852</v>
      </c>
    </row>
    <row r="33" spans="1:9" x14ac:dyDescent="0.25">
      <c r="A33" s="109"/>
      <c r="B33" s="109" t="s">
        <v>74</v>
      </c>
      <c r="C33" s="156">
        <f t="shared" si="4"/>
        <v>8658533.5167524852</v>
      </c>
      <c r="D33" s="156">
        <f t="shared" si="0"/>
        <v>86585.335167524856</v>
      </c>
      <c r="E33" s="156">
        <f t="shared" si="6"/>
        <v>306570.56103803479</v>
      </c>
      <c r="F33" s="156">
        <f t="shared" si="7"/>
        <v>393155.89620555966</v>
      </c>
      <c r="G33" s="156">
        <f t="shared" si="3"/>
        <v>8351962.9557144502</v>
      </c>
      <c r="H33" s="224"/>
      <c r="I33" s="224"/>
    </row>
    <row r="34" spans="1:9" x14ac:dyDescent="0.25">
      <c r="A34" s="109" t="s">
        <v>13</v>
      </c>
      <c r="B34" s="109" t="s">
        <v>75</v>
      </c>
      <c r="C34" s="156">
        <f t="shared" si="4"/>
        <v>8351962.9557144502</v>
      </c>
      <c r="D34" s="156">
        <f t="shared" si="0"/>
        <v>83519.629557144493</v>
      </c>
      <c r="E34" s="156">
        <f t="shared" si="6"/>
        <v>309636.26664841519</v>
      </c>
      <c r="F34" s="156">
        <f t="shared" si="7"/>
        <v>393155.89620555966</v>
      </c>
      <c r="G34" s="156">
        <f t="shared" si="3"/>
        <v>8042326.6890660347</v>
      </c>
    </row>
    <row r="35" spans="1:9" x14ac:dyDescent="0.25">
      <c r="A35" s="109"/>
      <c r="B35" s="109" t="s">
        <v>76</v>
      </c>
      <c r="C35" s="156">
        <f t="shared" si="4"/>
        <v>8042326.6890660347</v>
      </c>
      <c r="D35" s="156">
        <f t="shared" si="0"/>
        <v>80423.26689066035</v>
      </c>
      <c r="E35" s="156">
        <f t="shared" si="6"/>
        <v>312732.62931489933</v>
      </c>
      <c r="F35" s="156">
        <f t="shared" si="7"/>
        <v>393155.89620555966</v>
      </c>
      <c r="G35" s="156">
        <f t="shared" si="3"/>
        <v>7729594.0597511353</v>
      </c>
    </row>
    <row r="36" spans="1:9" x14ac:dyDescent="0.25">
      <c r="A36" s="109"/>
      <c r="B36" s="109" t="s">
        <v>77</v>
      </c>
      <c r="C36" s="156">
        <f t="shared" si="4"/>
        <v>7729594.0597511353</v>
      </c>
      <c r="D36" s="156">
        <f t="shared" si="0"/>
        <v>77295.940597511348</v>
      </c>
      <c r="E36" s="156">
        <f t="shared" si="6"/>
        <v>315859.9556080483</v>
      </c>
      <c r="F36" s="156">
        <f t="shared" si="7"/>
        <v>393155.89620555966</v>
      </c>
      <c r="G36" s="156">
        <f t="shared" si="3"/>
        <v>7413734.1041430868</v>
      </c>
    </row>
    <row r="37" spans="1:9" x14ac:dyDescent="0.25">
      <c r="A37" s="109"/>
      <c r="B37" s="109" t="s">
        <v>78</v>
      </c>
      <c r="C37" s="156">
        <f t="shared" si="4"/>
        <v>7413734.1041430868</v>
      </c>
      <c r="D37" s="156">
        <f t="shared" si="0"/>
        <v>74137.341041430875</v>
      </c>
      <c r="E37" s="156">
        <f t="shared" si="6"/>
        <v>319018.55516412877</v>
      </c>
      <c r="F37" s="156">
        <f t="shared" si="7"/>
        <v>393155.89620555966</v>
      </c>
      <c r="G37" s="156">
        <f t="shared" si="3"/>
        <v>7094715.5489789583</v>
      </c>
    </row>
    <row r="38" spans="1:9" x14ac:dyDescent="0.25">
      <c r="A38" s="109"/>
      <c r="B38" s="109" t="s">
        <v>79</v>
      </c>
      <c r="C38" s="156">
        <f t="shared" si="4"/>
        <v>7094715.5489789583</v>
      </c>
      <c r="D38" s="156">
        <f t="shared" si="0"/>
        <v>70947.155489789584</v>
      </c>
      <c r="E38" s="156">
        <f t="shared" si="6"/>
        <v>322208.74071577005</v>
      </c>
      <c r="F38" s="156">
        <f t="shared" si="7"/>
        <v>393155.89620555966</v>
      </c>
      <c r="G38" s="156">
        <f t="shared" si="3"/>
        <v>6772506.8082631882</v>
      </c>
    </row>
    <row r="39" spans="1:9" x14ac:dyDescent="0.25">
      <c r="A39" s="109"/>
      <c r="B39" s="109" t="s">
        <v>80</v>
      </c>
      <c r="C39" s="156">
        <f t="shared" si="4"/>
        <v>6772506.8082631882</v>
      </c>
      <c r="D39" s="156">
        <f t="shared" si="0"/>
        <v>67725.068082631871</v>
      </c>
      <c r="E39" s="156">
        <f t="shared" si="6"/>
        <v>325430.82812292781</v>
      </c>
      <c r="F39" s="156">
        <f t="shared" si="7"/>
        <v>393155.89620555966</v>
      </c>
      <c r="G39" s="156">
        <f t="shared" si="3"/>
        <v>6447075.9801402604</v>
      </c>
    </row>
    <row r="40" spans="1:9" x14ac:dyDescent="0.25">
      <c r="A40" s="109"/>
      <c r="B40" s="109" t="s">
        <v>81</v>
      </c>
      <c r="C40" s="156">
        <f t="shared" si="4"/>
        <v>6447075.9801402604</v>
      </c>
      <c r="D40" s="156">
        <f t="shared" si="0"/>
        <v>64470.759801402601</v>
      </c>
      <c r="E40" s="156">
        <f t="shared" si="6"/>
        <v>328685.13640415703</v>
      </c>
      <c r="F40" s="156">
        <f t="shared" si="7"/>
        <v>393155.89620555966</v>
      </c>
      <c r="G40" s="156">
        <f t="shared" si="3"/>
        <v>6118390.8437361037</v>
      </c>
    </row>
    <row r="41" spans="1:9" x14ac:dyDescent="0.25">
      <c r="A41" s="109"/>
      <c r="B41" s="109" t="s">
        <v>82</v>
      </c>
      <c r="C41" s="156">
        <f t="shared" si="4"/>
        <v>6118390.8437361037</v>
      </c>
      <c r="D41" s="156">
        <f t="shared" si="0"/>
        <v>61183.908437361039</v>
      </c>
      <c r="E41" s="156">
        <f t="shared" si="6"/>
        <v>331971.9877681986</v>
      </c>
      <c r="F41" s="156">
        <f t="shared" si="7"/>
        <v>393155.89620555966</v>
      </c>
      <c r="G41" s="156">
        <f t="shared" si="3"/>
        <v>5786418.8559679054</v>
      </c>
    </row>
    <row r="42" spans="1:9" x14ac:dyDescent="0.25">
      <c r="A42" s="109"/>
      <c r="B42" s="109" t="s">
        <v>83</v>
      </c>
      <c r="C42" s="156">
        <f t="shared" si="4"/>
        <v>5786418.8559679054</v>
      </c>
      <c r="D42" s="156">
        <f t="shared" ref="D42:D73" si="8">C42*$D$5/12</f>
        <v>57864.188559679053</v>
      </c>
      <c r="E42" s="156">
        <f t="shared" si="6"/>
        <v>335291.70764588064</v>
      </c>
      <c r="F42" s="156">
        <f t="shared" si="7"/>
        <v>393155.89620555966</v>
      </c>
      <c r="G42" s="156">
        <f t="shared" si="3"/>
        <v>5451127.1483220244</v>
      </c>
    </row>
    <row r="43" spans="1:9" x14ac:dyDescent="0.25">
      <c r="A43" s="109"/>
      <c r="B43" s="109" t="s">
        <v>84</v>
      </c>
      <c r="C43" s="156">
        <f t="shared" si="4"/>
        <v>5451127.1483220244</v>
      </c>
      <c r="D43" s="156">
        <f t="shared" si="8"/>
        <v>54511.27148322024</v>
      </c>
      <c r="E43" s="156">
        <f t="shared" si="6"/>
        <v>338644.62472233945</v>
      </c>
      <c r="F43" s="156">
        <f t="shared" si="7"/>
        <v>393155.89620555966</v>
      </c>
      <c r="G43" s="156">
        <f t="shared" si="3"/>
        <v>5112482.5235996852</v>
      </c>
    </row>
    <row r="44" spans="1:9" x14ac:dyDescent="0.25">
      <c r="A44" s="109"/>
      <c r="B44" s="109" t="s">
        <v>85</v>
      </c>
      <c r="C44" s="156">
        <f t="shared" si="4"/>
        <v>5112482.5235996852</v>
      </c>
      <c r="D44" s="156">
        <f t="shared" si="8"/>
        <v>51124.825235996854</v>
      </c>
      <c r="E44" s="156">
        <f t="shared" si="6"/>
        <v>342031.0709695628</v>
      </c>
      <c r="F44" s="156">
        <f t="shared" si="7"/>
        <v>393155.89620555966</v>
      </c>
      <c r="G44" s="156">
        <f t="shared" si="3"/>
        <v>4770451.4526301222</v>
      </c>
    </row>
    <row r="45" spans="1:9" x14ac:dyDescent="0.25">
      <c r="A45" s="109"/>
      <c r="B45" s="109" t="s">
        <v>86</v>
      </c>
      <c r="C45" s="156">
        <f t="shared" si="4"/>
        <v>4770451.4526301222</v>
      </c>
      <c r="D45" s="156">
        <f t="shared" si="8"/>
        <v>47704.514526301216</v>
      </c>
      <c r="E45" s="156">
        <f t="shared" si="6"/>
        <v>345451.38167925843</v>
      </c>
      <c r="F45" s="156">
        <f t="shared" si="7"/>
        <v>393155.89620555966</v>
      </c>
      <c r="G45" s="156">
        <f t="shared" si="3"/>
        <v>4425000.0709508639</v>
      </c>
      <c r="H45" s="224"/>
      <c r="I45" s="224"/>
    </row>
    <row r="46" spans="1:9" x14ac:dyDescent="0.25">
      <c r="A46" s="109" t="s">
        <v>14</v>
      </c>
      <c r="B46" s="109" t="s">
        <v>87</v>
      </c>
      <c r="C46" s="156">
        <f t="shared" si="4"/>
        <v>4425000.0709508639</v>
      </c>
      <c r="D46" s="156">
        <f t="shared" si="8"/>
        <v>44250.000709508633</v>
      </c>
      <c r="E46" s="156">
        <f t="shared" si="6"/>
        <v>348905.89549605106</v>
      </c>
      <c r="F46" s="156">
        <f t="shared" si="7"/>
        <v>393155.89620555966</v>
      </c>
      <c r="G46" s="156">
        <f t="shared" si="3"/>
        <v>4076094.1754548131</v>
      </c>
    </row>
    <row r="47" spans="1:9" x14ac:dyDescent="0.25">
      <c r="A47" s="109"/>
      <c r="B47" s="109" t="s">
        <v>88</v>
      </c>
      <c r="C47" s="156">
        <f t="shared" si="4"/>
        <v>4076094.1754548131</v>
      </c>
      <c r="D47" s="156">
        <f t="shared" si="8"/>
        <v>40760.941754548134</v>
      </c>
      <c r="E47" s="156">
        <f t="shared" si="6"/>
        <v>352394.95445101155</v>
      </c>
      <c r="F47" s="156">
        <f t="shared" si="7"/>
        <v>393155.89620555966</v>
      </c>
      <c r="G47" s="156">
        <f t="shared" si="3"/>
        <v>3723699.2210038016</v>
      </c>
    </row>
    <row r="48" spans="1:9" x14ac:dyDescent="0.25">
      <c r="A48" s="109"/>
      <c r="B48" s="109" t="s">
        <v>89</v>
      </c>
      <c r="C48" s="156">
        <f t="shared" si="4"/>
        <v>3723699.2210038016</v>
      </c>
      <c r="D48" s="156">
        <f t="shared" si="8"/>
        <v>37236.992210038014</v>
      </c>
      <c r="E48" s="156">
        <f t="shared" si="6"/>
        <v>355918.90399552166</v>
      </c>
      <c r="F48" s="156">
        <f t="shared" si="7"/>
        <v>393155.89620555966</v>
      </c>
      <c r="G48" s="156">
        <f t="shared" si="3"/>
        <v>3367780.3170082797</v>
      </c>
    </row>
    <row r="49" spans="1:9" x14ac:dyDescent="0.25">
      <c r="A49" s="109"/>
      <c r="B49" s="109" t="s">
        <v>90</v>
      </c>
      <c r="C49" s="156">
        <f t="shared" si="4"/>
        <v>3367780.3170082797</v>
      </c>
      <c r="D49" s="156">
        <f t="shared" si="8"/>
        <v>33677.803170082792</v>
      </c>
      <c r="E49" s="156">
        <f t="shared" si="6"/>
        <v>359478.09303547686</v>
      </c>
      <c r="F49" s="156">
        <f t="shared" si="7"/>
        <v>393155.89620555966</v>
      </c>
      <c r="G49" s="156">
        <f t="shared" si="3"/>
        <v>3008302.223972803</v>
      </c>
    </row>
    <row r="50" spans="1:9" x14ac:dyDescent="0.25">
      <c r="A50" s="109"/>
      <c r="B50" s="109" t="s">
        <v>91</v>
      </c>
      <c r="C50" s="156">
        <f t="shared" si="4"/>
        <v>3008302.223972803</v>
      </c>
      <c r="D50" s="156">
        <f t="shared" si="8"/>
        <v>30083.02223972803</v>
      </c>
      <c r="E50" s="156">
        <f t="shared" si="6"/>
        <v>363072.87396583165</v>
      </c>
      <c r="F50" s="156">
        <f t="shared" si="7"/>
        <v>393155.89620555966</v>
      </c>
      <c r="G50" s="156">
        <f t="shared" si="3"/>
        <v>2645229.3500069715</v>
      </c>
    </row>
    <row r="51" spans="1:9" x14ac:dyDescent="0.25">
      <c r="A51" s="109"/>
      <c r="B51" s="109" t="s">
        <v>92</v>
      </c>
      <c r="C51" s="156">
        <f t="shared" si="4"/>
        <v>2645229.3500069715</v>
      </c>
      <c r="D51" s="156">
        <f t="shared" si="8"/>
        <v>26452.293500069714</v>
      </c>
      <c r="E51" s="156">
        <f t="shared" si="6"/>
        <v>366703.60270548996</v>
      </c>
      <c r="F51" s="156">
        <f t="shared" si="7"/>
        <v>393155.89620555966</v>
      </c>
      <c r="G51" s="156">
        <f t="shared" si="3"/>
        <v>2278525.7473014817</v>
      </c>
    </row>
    <row r="52" spans="1:9" x14ac:dyDescent="0.25">
      <c r="A52" s="109"/>
      <c r="B52" s="109" t="s">
        <v>93</v>
      </c>
      <c r="C52" s="156">
        <f t="shared" si="4"/>
        <v>2278525.7473014817</v>
      </c>
      <c r="D52" s="156">
        <f t="shared" si="8"/>
        <v>22785.257473014815</v>
      </c>
      <c r="E52" s="156">
        <f t="shared" si="6"/>
        <v>370370.63873254484</v>
      </c>
      <c r="F52" s="156">
        <f t="shared" si="7"/>
        <v>393155.89620555966</v>
      </c>
      <c r="G52" s="156">
        <f t="shared" si="3"/>
        <v>1908155.1085689368</v>
      </c>
    </row>
    <row r="53" spans="1:9" x14ac:dyDescent="0.25">
      <c r="A53" s="109"/>
      <c r="B53" s="109" t="s">
        <v>94</v>
      </c>
      <c r="C53" s="156">
        <f t="shared" si="4"/>
        <v>1908155.1085689368</v>
      </c>
      <c r="D53" s="156">
        <f t="shared" si="8"/>
        <v>19081.551085689367</v>
      </c>
      <c r="E53" s="156">
        <f t="shared" si="6"/>
        <v>374074.34511987027</v>
      </c>
      <c r="F53" s="156">
        <f t="shared" si="7"/>
        <v>393155.89620555966</v>
      </c>
      <c r="G53" s="156">
        <f t="shared" si="3"/>
        <v>1534080.7634490666</v>
      </c>
    </row>
    <row r="54" spans="1:9" x14ac:dyDescent="0.25">
      <c r="A54" s="109"/>
      <c r="B54" s="109" t="s">
        <v>95</v>
      </c>
      <c r="C54" s="156">
        <f t="shared" si="4"/>
        <v>1534080.7634490666</v>
      </c>
      <c r="D54" s="156">
        <f t="shared" si="8"/>
        <v>15340.807634490666</v>
      </c>
      <c r="E54" s="156">
        <f t="shared" si="6"/>
        <v>377815.08857106901</v>
      </c>
      <c r="F54" s="156">
        <f t="shared" si="7"/>
        <v>393155.89620555966</v>
      </c>
      <c r="G54" s="156">
        <f t="shared" si="3"/>
        <v>1156265.6748779975</v>
      </c>
    </row>
    <row r="55" spans="1:9" x14ac:dyDescent="0.25">
      <c r="A55" s="109"/>
      <c r="B55" s="109" t="s">
        <v>96</v>
      </c>
      <c r="C55" s="156">
        <f t="shared" si="4"/>
        <v>1156265.6748779975</v>
      </c>
      <c r="D55" s="156">
        <f t="shared" si="8"/>
        <v>11562.656748779975</v>
      </c>
      <c r="E55" s="156">
        <f t="shared" si="6"/>
        <v>381593.23945677967</v>
      </c>
      <c r="F55" s="156">
        <f t="shared" si="7"/>
        <v>393155.89620555966</v>
      </c>
      <c r="G55" s="156">
        <f t="shared" si="3"/>
        <v>774672.43542121782</v>
      </c>
    </row>
    <row r="56" spans="1:9" x14ac:dyDescent="0.25">
      <c r="A56" s="109"/>
      <c r="B56" s="109" t="s">
        <v>97</v>
      </c>
      <c r="C56" s="156">
        <f t="shared" si="4"/>
        <v>774672.43542121782</v>
      </c>
      <c r="D56" s="156">
        <f t="shared" si="8"/>
        <v>7746.7243542121787</v>
      </c>
      <c r="E56" s="156">
        <f t="shared" si="6"/>
        <v>385409.17185134749</v>
      </c>
      <c r="F56" s="156">
        <f t="shared" si="7"/>
        <v>393155.89620555966</v>
      </c>
      <c r="G56" s="156">
        <f t="shared" si="3"/>
        <v>389263.26356987032</v>
      </c>
    </row>
    <row r="57" spans="1:9" x14ac:dyDescent="0.25">
      <c r="A57" s="109"/>
      <c r="B57" s="109" t="s">
        <v>98</v>
      </c>
      <c r="C57" s="156">
        <f t="shared" si="4"/>
        <v>389263.26356987032</v>
      </c>
      <c r="D57" s="156">
        <f t="shared" si="8"/>
        <v>3892.6326356987029</v>
      </c>
      <c r="E57" s="156">
        <f t="shared" si="6"/>
        <v>389263.26356986095</v>
      </c>
      <c r="F57" s="156">
        <f t="shared" si="7"/>
        <v>393155.89620555966</v>
      </c>
      <c r="G57" s="156">
        <f t="shared" si="3"/>
        <v>9.3714334070682526E-9</v>
      </c>
      <c r="H57" s="224"/>
      <c r="I57" s="224"/>
    </row>
    <row r="58" spans="1:9" x14ac:dyDescent="0.25">
      <c r="A58" s="109" t="s">
        <v>15</v>
      </c>
      <c r="B58" s="109" t="s">
        <v>99</v>
      </c>
      <c r="C58" s="156">
        <f t="shared" si="4"/>
        <v>9.3714334070682526E-9</v>
      </c>
      <c r="D58" s="156">
        <f t="shared" si="8"/>
        <v>9.3714334070682531E-11</v>
      </c>
      <c r="E58" s="156">
        <f t="shared" si="6"/>
        <v>-9.3714334070682531E-11</v>
      </c>
      <c r="F58" s="156"/>
      <c r="G58" s="156">
        <f t="shared" si="3"/>
        <v>9.4651477411389359E-9</v>
      </c>
    </row>
    <row r="59" spans="1:9" x14ac:dyDescent="0.25">
      <c r="A59" s="109"/>
      <c r="B59" s="109" t="s">
        <v>100</v>
      </c>
      <c r="C59" s="156">
        <f t="shared" si="4"/>
        <v>9.4651477411389359E-9</v>
      </c>
      <c r="D59" s="156">
        <f t="shared" si="8"/>
        <v>9.4651477411389357E-11</v>
      </c>
      <c r="E59" s="156">
        <f t="shared" si="6"/>
        <v>-9.4651477411389357E-11</v>
      </c>
      <c r="F59" s="156"/>
      <c r="G59" s="156">
        <f t="shared" si="3"/>
        <v>9.5597992185503257E-9</v>
      </c>
    </row>
    <row r="60" spans="1:9" x14ac:dyDescent="0.25">
      <c r="A60" s="109"/>
      <c r="B60" s="109" t="s">
        <v>101</v>
      </c>
      <c r="C60" s="156">
        <f t="shared" si="4"/>
        <v>9.5597992185503257E-9</v>
      </c>
      <c r="D60" s="156">
        <f t="shared" si="8"/>
        <v>9.5597992185503255E-11</v>
      </c>
      <c r="E60" s="156">
        <f t="shared" si="6"/>
        <v>-9.5597992185503255E-11</v>
      </c>
      <c r="F60" s="156"/>
      <c r="G60" s="156">
        <f t="shared" si="3"/>
        <v>9.6553972107358286E-9</v>
      </c>
    </row>
    <row r="61" spans="1:9" x14ac:dyDescent="0.25">
      <c r="A61" s="109"/>
      <c r="B61" s="109" t="s">
        <v>102</v>
      </c>
      <c r="C61" s="156">
        <f t="shared" si="4"/>
        <v>9.6553972107358286E-9</v>
      </c>
      <c r="D61" s="156">
        <f t="shared" si="8"/>
        <v>9.655397210735827E-11</v>
      </c>
      <c r="E61" s="156">
        <f t="shared" si="6"/>
        <v>-9.655397210735827E-11</v>
      </c>
      <c r="F61" s="156"/>
      <c r="G61" s="156">
        <f t="shared" si="3"/>
        <v>9.7519511828431868E-9</v>
      </c>
    </row>
    <row r="62" spans="1:9" x14ac:dyDescent="0.25">
      <c r="A62" s="109"/>
      <c r="B62" s="109" t="s">
        <v>103</v>
      </c>
      <c r="C62" s="156">
        <f t="shared" si="4"/>
        <v>9.7519511828431868E-9</v>
      </c>
      <c r="D62" s="156">
        <f t="shared" si="8"/>
        <v>9.7519511828431864E-11</v>
      </c>
      <c r="E62" s="156">
        <f t="shared" si="6"/>
        <v>-9.7519511828431864E-11</v>
      </c>
      <c r="F62" s="156"/>
      <c r="G62" s="156">
        <f t="shared" si="3"/>
        <v>9.849470694671619E-9</v>
      </c>
    </row>
    <row r="63" spans="1:9" x14ac:dyDescent="0.25">
      <c r="A63" s="109"/>
      <c r="B63" s="109" t="s">
        <v>104</v>
      </c>
      <c r="C63" s="156">
        <f t="shared" si="4"/>
        <v>9.849470694671619E-9</v>
      </c>
      <c r="D63" s="156">
        <f t="shared" si="8"/>
        <v>9.8494706946716189E-11</v>
      </c>
      <c r="E63" s="156">
        <f t="shared" si="6"/>
        <v>-9.8494706946716189E-11</v>
      </c>
      <c r="F63" s="156"/>
      <c r="G63" s="156">
        <f t="shared" si="3"/>
        <v>9.9479654016183356E-9</v>
      </c>
    </row>
    <row r="64" spans="1:9" x14ac:dyDescent="0.25">
      <c r="A64" s="109"/>
      <c r="B64" s="109" t="s">
        <v>105</v>
      </c>
      <c r="C64" s="156">
        <f t="shared" si="4"/>
        <v>9.9479654016183356E-9</v>
      </c>
      <c r="D64" s="156">
        <f t="shared" si="8"/>
        <v>9.9479654016183345E-11</v>
      </c>
      <c r="E64" s="156">
        <f t="shared" si="6"/>
        <v>-9.9479654016183345E-11</v>
      </c>
      <c r="F64" s="156"/>
      <c r="G64" s="156">
        <f t="shared" si="3"/>
        <v>1.0047445055634519E-8</v>
      </c>
    </row>
    <row r="65" spans="1:9" x14ac:dyDescent="0.25">
      <c r="A65" s="109"/>
      <c r="B65" s="109" t="s">
        <v>106</v>
      </c>
      <c r="C65" s="156">
        <f t="shared" si="4"/>
        <v>1.0047445055634519E-8</v>
      </c>
      <c r="D65" s="156">
        <f t="shared" si="8"/>
        <v>1.0047445055634519E-10</v>
      </c>
      <c r="E65" s="156">
        <f t="shared" si="6"/>
        <v>-1.0047445055634519E-10</v>
      </c>
      <c r="F65" s="156"/>
      <c r="G65" s="156">
        <f t="shared" si="3"/>
        <v>1.0147919506190865E-8</v>
      </c>
    </row>
    <row r="66" spans="1:9" x14ac:dyDescent="0.25">
      <c r="A66" s="109"/>
      <c r="B66" s="109" t="s">
        <v>107</v>
      </c>
      <c r="C66" s="156">
        <f t="shared" si="4"/>
        <v>1.0147919506190865E-8</v>
      </c>
      <c r="D66" s="156">
        <f t="shared" si="8"/>
        <v>1.0147919506190864E-10</v>
      </c>
      <c r="E66" s="156">
        <f t="shared" si="6"/>
        <v>-1.0147919506190864E-10</v>
      </c>
      <c r="F66" s="156"/>
      <c r="G66" s="156">
        <f t="shared" si="3"/>
        <v>1.0249398701252773E-8</v>
      </c>
    </row>
    <row r="67" spans="1:9" x14ac:dyDescent="0.25">
      <c r="A67" s="109"/>
      <c r="B67" s="109" t="s">
        <v>108</v>
      </c>
      <c r="C67" s="156">
        <f t="shared" si="4"/>
        <v>1.0249398701252773E-8</v>
      </c>
      <c r="D67" s="156">
        <f t="shared" si="8"/>
        <v>1.0249398701252772E-10</v>
      </c>
      <c r="E67" s="156">
        <f t="shared" si="6"/>
        <v>-1.0249398701252772E-10</v>
      </c>
      <c r="F67" s="156"/>
      <c r="G67" s="156">
        <f t="shared" si="3"/>
        <v>1.0351892688265301E-8</v>
      </c>
    </row>
    <row r="68" spans="1:9" x14ac:dyDescent="0.25">
      <c r="A68" s="109"/>
      <c r="B68" s="109" t="s">
        <v>109</v>
      </c>
      <c r="C68" s="156">
        <f t="shared" si="4"/>
        <v>1.0351892688265301E-8</v>
      </c>
      <c r="D68" s="156">
        <f t="shared" si="8"/>
        <v>1.0351892688265299E-10</v>
      </c>
      <c r="E68" s="156">
        <f t="shared" si="6"/>
        <v>-1.0351892688265299E-10</v>
      </c>
      <c r="F68" s="156"/>
      <c r="G68" s="156">
        <f t="shared" si="3"/>
        <v>1.0455411615147954E-8</v>
      </c>
    </row>
    <row r="69" spans="1:9" x14ac:dyDescent="0.25">
      <c r="A69" s="109"/>
      <c r="B69" s="109" t="s">
        <v>110</v>
      </c>
      <c r="C69" s="156">
        <f t="shared" si="4"/>
        <v>1.0455411615147954E-8</v>
      </c>
      <c r="D69" s="156">
        <f t="shared" si="8"/>
        <v>1.0455411615147954E-10</v>
      </c>
      <c r="E69" s="156">
        <f t="shared" si="6"/>
        <v>-1.0455411615147954E-10</v>
      </c>
      <c r="F69" s="156"/>
      <c r="G69" s="156">
        <f t="shared" si="3"/>
        <v>1.0559965731299433E-8</v>
      </c>
      <c r="H69" s="224"/>
      <c r="I69" s="224"/>
    </row>
    <row r="70" spans="1:9" x14ac:dyDescent="0.25">
      <c r="A70" s="109" t="s">
        <v>16</v>
      </c>
      <c r="B70" s="109" t="s">
        <v>111</v>
      </c>
      <c r="C70" s="156">
        <f t="shared" si="4"/>
        <v>1.0559965731299433E-8</v>
      </c>
      <c r="D70" s="156">
        <f t="shared" si="8"/>
        <v>1.0559965731299432E-10</v>
      </c>
      <c r="E70" s="156">
        <f t="shared" si="6"/>
        <v>-1.0559965731299432E-10</v>
      </c>
      <c r="F70" s="156"/>
      <c r="G70" s="156">
        <f t="shared" si="3"/>
        <v>1.0665565388612428E-8</v>
      </c>
    </row>
    <row r="71" spans="1:9" x14ac:dyDescent="0.25">
      <c r="A71" s="109"/>
      <c r="B71" s="109" t="s">
        <v>112</v>
      </c>
      <c r="C71" s="156">
        <f t="shared" si="4"/>
        <v>1.0665565388612428E-8</v>
      </c>
      <c r="D71" s="156">
        <f t="shared" si="8"/>
        <v>1.0665565388612428E-10</v>
      </c>
      <c r="E71" s="156">
        <f t="shared" si="6"/>
        <v>-1.0665565388612428E-10</v>
      </c>
      <c r="F71" s="156"/>
      <c r="G71" s="156">
        <f t="shared" si="3"/>
        <v>1.0772221042498551E-8</v>
      </c>
    </row>
    <row r="72" spans="1:9" x14ac:dyDescent="0.25">
      <c r="A72" s="109"/>
      <c r="B72" s="109" t="s">
        <v>113</v>
      </c>
      <c r="C72" s="156">
        <f t="shared" si="4"/>
        <v>1.0772221042498551E-8</v>
      </c>
      <c r="D72" s="156">
        <f t="shared" si="8"/>
        <v>1.0772221042498549E-10</v>
      </c>
      <c r="E72" s="156">
        <f t="shared" si="6"/>
        <v>-1.0772221042498549E-10</v>
      </c>
      <c r="F72" s="156"/>
      <c r="G72" s="156">
        <f t="shared" si="3"/>
        <v>1.0879943252923537E-8</v>
      </c>
    </row>
    <row r="73" spans="1:9" x14ac:dyDescent="0.25">
      <c r="A73" s="109"/>
      <c r="B73" s="109" t="s">
        <v>114</v>
      </c>
      <c r="C73" s="156">
        <f t="shared" si="4"/>
        <v>1.0879943252923537E-8</v>
      </c>
      <c r="D73" s="156">
        <f t="shared" si="8"/>
        <v>1.0879943252923537E-10</v>
      </c>
      <c r="E73" s="156">
        <f t="shared" si="6"/>
        <v>-1.0879943252923537E-10</v>
      </c>
      <c r="F73" s="156"/>
      <c r="G73" s="156">
        <f t="shared" si="3"/>
        <v>1.0988742685452772E-8</v>
      </c>
    </row>
    <row r="74" spans="1:9" x14ac:dyDescent="0.25">
      <c r="A74" s="109"/>
      <c r="B74" s="109" t="s">
        <v>115</v>
      </c>
      <c r="C74" s="156">
        <f t="shared" si="4"/>
        <v>1.0988742685452772E-8</v>
      </c>
      <c r="D74" s="156">
        <f t="shared" ref="D74:D81" si="9">C74*$D$5/12</f>
        <v>1.0988742685452773E-10</v>
      </c>
      <c r="E74" s="156">
        <f t="shared" si="6"/>
        <v>-1.0988742685452773E-10</v>
      </c>
      <c r="F74" s="156"/>
      <c r="G74" s="156">
        <f t="shared" si="3"/>
        <v>1.10986301123073E-8</v>
      </c>
    </row>
    <row r="75" spans="1:9" x14ac:dyDescent="0.25">
      <c r="A75" s="109"/>
      <c r="B75" s="109" t="s">
        <v>116</v>
      </c>
      <c r="C75" s="156">
        <f t="shared" si="4"/>
        <v>1.10986301123073E-8</v>
      </c>
      <c r="D75" s="156">
        <f t="shared" si="9"/>
        <v>1.10986301123073E-10</v>
      </c>
      <c r="E75" s="156">
        <f t="shared" si="6"/>
        <v>-1.10986301123073E-10</v>
      </c>
      <c r="F75" s="156"/>
      <c r="G75" s="156">
        <f t="shared" ref="G75:G81" si="10">C75-E75</f>
        <v>1.1209616413430373E-8</v>
      </c>
    </row>
    <row r="76" spans="1:9" x14ac:dyDescent="0.25">
      <c r="A76" s="109"/>
      <c r="B76" s="109" t="s">
        <v>117</v>
      </c>
      <c r="C76" s="156">
        <f t="shared" ref="C76:C81" si="11">G75</f>
        <v>1.1209616413430373E-8</v>
      </c>
      <c r="D76" s="156">
        <f t="shared" si="9"/>
        <v>1.1209616413430372E-10</v>
      </c>
      <c r="E76" s="156">
        <f t="shared" si="6"/>
        <v>-1.1209616413430372E-10</v>
      </c>
      <c r="F76" s="156"/>
      <c r="G76" s="156">
        <f t="shared" si="10"/>
        <v>1.1321712577564678E-8</v>
      </c>
    </row>
    <row r="77" spans="1:9" x14ac:dyDescent="0.25">
      <c r="A77" s="109"/>
      <c r="B77" s="109" t="s">
        <v>118</v>
      </c>
      <c r="C77" s="156">
        <f t="shared" si="11"/>
        <v>1.1321712577564678E-8</v>
      </c>
      <c r="D77" s="156">
        <f t="shared" si="9"/>
        <v>1.1321712577564677E-10</v>
      </c>
      <c r="E77" s="156">
        <f t="shared" si="6"/>
        <v>-1.1321712577564677E-10</v>
      </c>
      <c r="F77" s="156"/>
      <c r="G77" s="156">
        <f t="shared" si="10"/>
        <v>1.1434929703340324E-8</v>
      </c>
    </row>
    <row r="78" spans="1:9" x14ac:dyDescent="0.25">
      <c r="A78" s="109"/>
      <c r="B78" s="109" t="s">
        <v>119</v>
      </c>
      <c r="C78" s="156">
        <f t="shared" si="11"/>
        <v>1.1434929703340324E-8</v>
      </c>
      <c r="D78" s="156">
        <f t="shared" si="9"/>
        <v>1.1434929703340323E-10</v>
      </c>
      <c r="E78" s="156">
        <f t="shared" si="6"/>
        <v>-1.1434929703340323E-10</v>
      </c>
      <c r="F78" s="156"/>
      <c r="G78" s="156">
        <f t="shared" si="10"/>
        <v>1.1549279000373728E-8</v>
      </c>
    </row>
    <row r="79" spans="1:9" x14ac:dyDescent="0.25">
      <c r="A79" s="109"/>
      <c r="B79" s="109" t="s">
        <v>120</v>
      </c>
      <c r="C79" s="156">
        <f t="shared" si="11"/>
        <v>1.1549279000373728E-8</v>
      </c>
      <c r="D79" s="156">
        <f t="shared" si="9"/>
        <v>1.1549279000373727E-10</v>
      </c>
      <c r="E79" s="156">
        <f t="shared" si="6"/>
        <v>-1.1549279000373727E-10</v>
      </c>
      <c r="F79" s="156"/>
      <c r="G79" s="156">
        <f t="shared" si="10"/>
        <v>1.1664771790377465E-8</v>
      </c>
    </row>
    <row r="80" spans="1:9" x14ac:dyDescent="0.25">
      <c r="A80" s="109"/>
      <c r="B80" s="109" t="s">
        <v>121</v>
      </c>
      <c r="C80" s="156">
        <f t="shared" si="11"/>
        <v>1.1664771790377465E-8</v>
      </c>
      <c r="D80" s="156">
        <f t="shared" si="9"/>
        <v>1.1664771790377464E-10</v>
      </c>
      <c r="E80" s="156">
        <f t="shared" si="6"/>
        <v>-1.1664771790377464E-10</v>
      </c>
      <c r="F80" s="156"/>
      <c r="G80" s="156">
        <f t="shared" si="10"/>
        <v>1.1781419508281239E-8</v>
      </c>
    </row>
    <row r="81" spans="1:9" x14ac:dyDescent="0.25">
      <c r="A81" s="109" t="s">
        <v>272</v>
      </c>
      <c r="B81" s="109" t="s">
        <v>122</v>
      </c>
      <c r="C81" s="156">
        <f t="shared" si="11"/>
        <v>1.1781419508281239E-8</v>
      </c>
      <c r="D81" s="156">
        <f t="shared" si="9"/>
        <v>1.1781419508281239E-10</v>
      </c>
      <c r="E81" s="156">
        <f t="shared" ref="E81" si="12">F81-D81</f>
        <v>-1.1781419508281239E-10</v>
      </c>
      <c r="F81" s="156"/>
      <c r="G81" s="156">
        <f t="shared" si="10"/>
        <v>1.1899233703364051E-8</v>
      </c>
      <c r="H81" s="224"/>
      <c r="I81" s="224"/>
    </row>
    <row r="82" spans="1:9" x14ac:dyDescent="0.25">
      <c r="A82" s="109"/>
      <c r="B82" s="109" t="s">
        <v>214</v>
      </c>
      <c r="C82" s="156"/>
      <c r="D82" s="156"/>
      <c r="E82" s="156"/>
      <c r="F82" s="156"/>
      <c r="G82" s="156"/>
    </row>
    <row r="83" spans="1:9" x14ac:dyDescent="0.25">
      <c r="A83" s="109"/>
      <c r="B83" s="109" t="s">
        <v>215</v>
      </c>
      <c r="C83" s="156"/>
      <c r="D83" s="156"/>
      <c r="E83" s="156"/>
      <c r="F83" s="156"/>
      <c r="G83" s="156"/>
    </row>
    <row r="84" spans="1:9" x14ac:dyDescent="0.25">
      <c r="A84" s="109"/>
      <c r="B84" s="109" t="s">
        <v>216</v>
      </c>
      <c r="C84" s="156"/>
      <c r="D84" s="156"/>
      <c r="E84" s="156"/>
      <c r="F84" s="156"/>
      <c r="G84" s="156"/>
    </row>
    <row r="85" spans="1:9" x14ac:dyDescent="0.25">
      <c r="A85" s="109"/>
      <c r="B85" s="109" t="s">
        <v>217</v>
      </c>
      <c r="C85" s="156"/>
      <c r="D85" s="156"/>
      <c r="E85" s="156"/>
      <c r="F85" s="156"/>
      <c r="G85" s="156"/>
    </row>
    <row r="86" spans="1:9" x14ac:dyDescent="0.25">
      <c r="A86" s="109"/>
      <c r="B86" s="109" t="s">
        <v>218</v>
      </c>
      <c r="C86" s="156"/>
      <c r="D86" s="156"/>
      <c r="E86" s="156"/>
      <c r="F86" s="156"/>
      <c r="G86" s="156"/>
    </row>
    <row r="87" spans="1:9" x14ac:dyDescent="0.25">
      <c r="A87" s="109"/>
      <c r="B87" s="109" t="s">
        <v>218</v>
      </c>
      <c r="C87" s="156"/>
      <c r="D87" s="156"/>
      <c r="E87" s="156"/>
      <c r="F87" s="156"/>
      <c r="G87" s="156"/>
    </row>
    <row r="88" spans="1:9" x14ac:dyDescent="0.25">
      <c r="A88" s="150"/>
      <c r="B88" s="150"/>
      <c r="C88" s="150"/>
      <c r="D88" s="224">
        <f>SUM(D10:D87)</f>
        <v>3888853.7191495127</v>
      </c>
      <c r="E88" s="224">
        <f>SUM(E10:E87)</f>
        <v>13429461.618599994</v>
      </c>
      <c r="F88" s="150"/>
      <c r="G88" s="150"/>
    </row>
    <row r="89" spans="1:9" ht="40.15" customHeight="1" x14ac:dyDescent="0.25">
      <c r="A89" s="495" t="s">
        <v>409</v>
      </c>
      <c r="B89" s="495"/>
      <c r="C89" s="495"/>
      <c r="D89" s="495"/>
      <c r="E89" s="495"/>
      <c r="F89" s="495"/>
      <c r="G89" s="495"/>
      <c r="H89" s="495"/>
    </row>
    <row r="90" spans="1:9" x14ac:dyDescent="0.25">
      <c r="A90" s="104" t="s">
        <v>530</v>
      </c>
    </row>
    <row r="91" spans="1:9" x14ac:dyDescent="0.25">
      <c r="A91" s="104">
        <v>1</v>
      </c>
      <c r="B91" s="104" t="s">
        <v>531</v>
      </c>
    </row>
    <row r="92" spans="1:9" x14ac:dyDescent="0.25">
      <c r="A92" s="104">
        <v>2</v>
      </c>
      <c r="B92" s="104" t="s">
        <v>532</v>
      </c>
    </row>
  </sheetData>
  <mergeCells count="2">
    <mergeCell ref="A2:G2"/>
    <mergeCell ref="A89:H89"/>
  </mergeCells>
  <pageMargins left="0.7" right="0.7" top="0.75" bottom="0.75" header="0.3" footer="0.3"/>
  <pageSetup paperSize="9"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tabSelected="1" view="pageBreakPreview" zoomScale="60" zoomScaleNormal="80" workbookViewId="0">
      <selection activeCell="H1" sqref="H1"/>
    </sheetView>
  </sheetViews>
  <sheetFormatPr defaultColWidth="10" defaultRowHeight="15" x14ac:dyDescent="0.25"/>
  <cols>
    <col min="1" max="1" width="10" style="104"/>
    <col min="2" max="2" width="7.5703125" style="104" customWidth="1"/>
    <col min="3" max="3" width="30.5703125" style="104" customWidth="1"/>
    <col min="4" max="4" width="16.7109375" style="104" customWidth="1"/>
    <col min="5" max="5" width="17.28515625" style="104" customWidth="1"/>
    <col min="6" max="6" width="16" style="104" customWidth="1"/>
    <col min="7" max="7" width="20.42578125" style="104" customWidth="1"/>
    <col min="8" max="8" width="23.28515625" style="104" customWidth="1"/>
    <col min="9" max="9" width="26.7109375" style="104" customWidth="1"/>
    <col min="10" max="10" width="29.42578125" style="104" customWidth="1"/>
    <col min="11" max="11" width="32.28515625" style="104" customWidth="1"/>
    <col min="12" max="13" width="10" style="104"/>
    <col min="14" max="14" width="24" style="104" hidden="1" customWidth="1"/>
    <col min="15" max="15" width="11.7109375" style="104" hidden="1" customWidth="1"/>
    <col min="16" max="16" width="9.5703125" style="104" hidden="1" customWidth="1"/>
    <col min="17" max="17" width="10.7109375" style="104" hidden="1" customWidth="1"/>
    <col min="18" max="18" width="11.28515625" style="104" hidden="1" customWidth="1"/>
    <col min="19" max="20" width="0" style="104" hidden="1" customWidth="1"/>
    <col min="21" max="21" width="24" style="104" hidden="1" customWidth="1"/>
    <col min="22" max="22" width="12.5703125" style="104" hidden="1" customWidth="1"/>
    <col min="23" max="23" width="0" style="104" hidden="1" customWidth="1"/>
    <col min="24" max="16384" width="10" style="104"/>
  </cols>
  <sheetData>
    <row r="2" spans="3:22" ht="18.75" x14ac:dyDescent="0.3">
      <c r="C2" s="479" t="s">
        <v>555</v>
      </c>
      <c r="D2" s="479"/>
      <c r="E2" s="479"/>
      <c r="F2" s="479"/>
      <c r="G2" s="479"/>
      <c r="H2" s="479"/>
      <c r="I2" s="479"/>
      <c r="J2" s="479"/>
      <c r="K2" s="479"/>
      <c r="L2" s="290"/>
    </row>
    <row r="4" spans="3:22" x14ac:dyDescent="0.25">
      <c r="C4" s="106" t="s">
        <v>0</v>
      </c>
      <c r="D4" s="106"/>
      <c r="E4" s="107" t="s">
        <v>2</v>
      </c>
      <c r="F4" s="107" t="s">
        <v>3</v>
      </c>
      <c r="G4" s="107" t="s">
        <v>4</v>
      </c>
      <c r="H4" s="107" t="s">
        <v>5</v>
      </c>
      <c r="I4" s="107" t="s">
        <v>6</v>
      </c>
      <c r="J4" s="107" t="s">
        <v>168</v>
      </c>
      <c r="K4" s="107" t="s">
        <v>167</v>
      </c>
      <c r="L4" s="150"/>
      <c r="M4" s="150"/>
      <c r="N4" s="291"/>
      <c r="O4" s="291"/>
      <c r="P4" s="291"/>
      <c r="Q4" s="291"/>
      <c r="R4" s="291"/>
      <c r="S4" s="291"/>
      <c r="T4" s="291"/>
      <c r="U4" s="291"/>
      <c r="V4" s="291"/>
    </row>
    <row r="5" spans="3:22" x14ac:dyDescent="0.25">
      <c r="C5" s="109" t="s">
        <v>358</v>
      </c>
      <c r="D5" s="109"/>
      <c r="E5" s="109"/>
      <c r="F5" s="109"/>
      <c r="G5" s="109"/>
      <c r="H5" s="109"/>
      <c r="I5" s="109"/>
      <c r="J5" s="109"/>
      <c r="K5" s="109"/>
      <c r="L5" s="150"/>
      <c r="M5" s="150"/>
      <c r="N5" s="505" t="s">
        <v>526</v>
      </c>
      <c r="O5" s="505"/>
      <c r="P5" s="505"/>
      <c r="Q5" s="505"/>
      <c r="R5" s="505"/>
      <c r="S5" s="291"/>
      <c r="T5" s="291"/>
      <c r="U5" s="505" t="s">
        <v>527</v>
      </c>
      <c r="V5" s="505"/>
    </row>
    <row r="6" spans="3:22" x14ac:dyDescent="0.25">
      <c r="C6" s="109" t="s">
        <v>359</v>
      </c>
      <c r="D6" s="174"/>
      <c r="E6" s="109"/>
      <c r="F6" s="156">
        <f t="shared" ref="F6:K9" si="0">E15</f>
        <v>0</v>
      </c>
      <c r="G6" s="156">
        <f t="shared" si="0"/>
        <v>0</v>
      </c>
      <c r="H6" s="156">
        <f t="shared" si="0"/>
        <v>0</v>
      </c>
      <c r="I6" s="156">
        <f t="shared" si="0"/>
        <v>0</v>
      </c>
      <c r="J6" s="156">
        <f t="shared" si="0"/>
        <v>0</v>
      </c>
      <c r="K6" s="156">
        <f t="shared" si="0"/>
        <v>0</v>
      </c>
      <c r="L6" s="150"/>
      <c r="M6" s="150"/>
      <c r="N6" s="506" t="s">
        <v>528</v>
      </c>
      <c r="O6" s="506"/>
      <c r="P6" s="506"/>
      <c r="Q6" s="506"/>
      <c r="R6" s="506"/>
      <c r="S6" s="291"/>
      <c r="T6" s="291"/>
      <c r="U6" s="506" t="s">
        <v>528</v>
      </c>
      <c r="V6" s="506"/>
    </row>
    <row r="7" spans="3:22" x14ac:dyDescent="0.25">
      <c r="C7" s="109" t="s">
        <v>442</v>
      </c>
      <c r="D7" s="174"/>
      <c r="E7" s="109"/>
      <c r="F7" s="156">
        <f t="shared" si="0"/>
        <v>0</v>
      </c>
      <c r="G7" s="156">
        <f t="shared" si="0"/>
        <v>0</v>
      </c>
      <c r="H7" s="156">
        <f t="shared" si="0"/>
        <v>0</v>
      </c>
      <c r="I7" s="156">
        <f t="shared" si="0"/>
        <v>0</v>
      </c>
      <c r="J7" s="156">
        <f t="shared" si="0"/>
        <v>0</v>
      </c>
      <c r="K7" s="156">
        <f t="shared" si="0"/>
        <v>0</v>
      </c>
      <c r="L7" s="150"/>
      <c r="M7" s="150"/>
      <c r="N7" s="292" t="s">
        <v>0</v>
      </c>
      <c r="O7" s="292" t="s">
        <v>162</v>
      </c>
      <c r="P7" s="292" t="s">
        <v>163</v>
      </c>
      <c r="Q7" s="292" t="s">
        <v>308</v>
      </c>
      <c r="R7" s="292" t="s">
        <v>309</v>
      </c>
      <c r="S7" s="291"/>
      <c r="T7" s="291"/>
      <c r="U7" s="293" t="s">
        <v>0</v>
      </c>
      <c r="V7" s="293" t="s">
        <v>483</v>
      </c>
    </row>
    <row r="8" spans="3:22" x14ac:dyDescent="0.25">
      <c r="C8" s="109" t="s">
        <v>545</v>
      </c>
      <c r="D8" s="174"/>
      <c r="E8" s="109"/>
      <c r="F8" s="156">
        <f t="shared" si="0"/>
        <v>626728.44192000001</v>
      </c>
      <c r="G8" s="156">
        <f t="shared" si="0"/>
        <v>737041.42737792036</v>
      </c>
      <c r="H8" s="156">
        <f t="shared" si="0"/>
        <v>856795.84361683216</v>
      </c>
      <c r="I8" s="156">
        <f t="shared" si="0"/>
        <v>986707.29690419068</v>
      </c>
      <c r="J8" s="156">
        <f t="shared" si="0"/>
        <v>1127467.9059112431</v>
      </c>
      <c r="K8" s="156">
        <f t="shared" si="0"/>
        <v>1279811.1281869577</v>
      </c>
      <c r="L8" s="150"/>
      <c r="M8" s="150"/>
      <c r="N8" s="294" t="s">
        <v>360</v>
      </c>
      <c r="O8" s="294">
        <f>'13.Facility 2 Grain Processing'!C151</f>
        <v>4700</v>
      </c>
      <c r="P8" s="294">
        <f>'13.Facility 2 Grain Processing'!C152</f>
        <v>5800</v>
      </c>
      <c r="Q8" s="294">
        <f>'13.Facility 2 Grain Processing'!C153</f>
        <v>6300</v>
      </c>
      <c r="R8" s="294">
        <f>'13.Facility 2 Grain Processing'!C154</f>
        <v>6000</v>
      </c>
      <c r="S8" s="291"/>
      <c r="T8" s="291"/>
      <c r="U8" s="294" t="s">
        <v>337</v>
      </c>
      <c r="V8" s="294">
        <f>'17.Facility 6 Horti Processing '!C163</f>
        <v>6000</v>
      </c>
    </row>
    <row r="9" spans="3:22" x14ac:dyDescent="0.25">
      <c r="C9" s="109" t="str">
        <f>C18</f>
        <v xml:space="preserve">Horticulture Processing </v>
      </c>
      <c r="D9" s="109"/>
      <c r="E9" s="109"/>
      <c r="F9" s="156">
        <f>E18</f>
        <v>0</v>
      </c>
      <c r="G9" s="156">
        <f t="shared" si="0"/>
        <v>0</v>
      </c>
      <c r="H9" s="156">
        <f t="shared" si="0"/>
        <v>0</v>
      </c>
      <c r="I9" s="156">
        <f t="shared" si="0"/>
        <v>0</v>
      </c>
      <c r="J9" s="156">
        <f t="shared" si="0"/>
        <v>0</v>
      </c>
      <c r="K9" s="156">
        <f t="shared" si="0"/>
        <v>0</v>
      </c>
      <c r="L9" s="150"/>
      <c r="M9" s="150"/>
      <c r="N9" s="294" t="str">
        <f>'13.Facility 2 Grain Processing'!A156</f>
        <v>Oil (Liters)</v>
      </c>
      <c r="O9" s="294">
        <f>('13.Facility 2 Grain Processing'!B156*'13.Facility 2 Grain Processing'!C156/1000)*100</f>
        <v>30</v>
      </c>
      <c r="P9" s="294">
        <f>O9</f>
        <v>30</v>
      </c>
      <c r="Q9" s="294">
        <f t="shared" ref="Q9:R9" si="1">P9</f>
        <v>30</v>
      </c>
      <c r="R9" s="294">
        <f t="shared" si="1"/>
        <v>30</v>
      </c>
      <c r="S9" s="291"/>
      <c r="T9" s="291"/>
      <c r="U9" s="294" t="str">
        <f>'17.Facility 6 Horti Processing '!A164</f>
        <v>Other Consumbales</v>
      </c>
      <c r="V9" s="295">
        <f>'17.Facility 6 Horti Processing '!C164</f>
        <v>2000</v>
      </c>
    </row>
    <row r="10" spans="3:22" x14ac:dyDescent="0.25">
      <c r="C10" s="109"/>
      <c r="D10" s="109"/>
      <c r="E10" s="109"/>
      <c r="F10" s="156"/>
      <c r="G10" s="156"/>
      <c r="H10" s="156"/>
      <c r="I10" s="156"/>
      <c r="J10" s="156"/>
      <c r="K10" s="156"/>
      <c r="L10" s="150"/>
      <c r="M10" s="150"/>
      <c r="N10" s="294" t="str">
        <f>'13.Facility 2 Grain Processing'!A157</f>
        <v xml:space="preserve">Daily Labour </v>
      </c>
      <c r="O10" s="296">
        <f>('13.Facility 2 Grain Processing'!B157*'13.Facility 2 Grain Processing'!C157)/('13.Facility 2 Grain Processing'!B5*'13.Facility 2 Grain Processing'!B6)</f>
        <v>2.7777777777777777</v>
      </c>
      <c r="P10" s="296">
        <f>O10</f>
        <v>2.7777777777777777</v>
      </c>
      <c r="Q10" s="296">
        <f t="shared" ref="Q10:R10" si="2">P10</f>
        <v>2.7777777777777777</v>
      </c>
      <c r="R10" s="296">
        <f t="shared" si="2"/>
        <v>2.7777777777777777</v>
      </c>
      <c r="S10" s="291"/>
      <c r="T10" s="291"/>
      <c r="U10" s="294" t="str">
        <f>'17.Facility 6 Horti Processing '!A165</f>
        <v xml:space="preserve">Daily Labour </v>
      </c>
      <c r="V10" s="295">
        <f>'17.Facility 6 Horti Processing '!B165*'17.Facility 6 Horti Processing '!C165/('17.Facility 6 Horti Processing '!B5*'17.Facility 6 Horti Processing '!B6)</f>
        <v>1500</v>
      </c>
    </row>
    <row r="11" spans="3:22" x14ac:dyDescent="0.25">
      <c r="C11" s="109"/>
      <c r="D11" s="109"/>
      <c r="E11" s="109"/>
      <c r="F11" s="156"/>
      <c r="G11" s="156"/>
      <c r="H11" s="156"/>
      <c r="I11" s="156"/>
      <c r="J11" s="156"/>
      <c r="K11" s="156"/>
      <c r="L11" s="150"/>
      <c r="M11" s="150"/>
      <c r="N11" s="294" t="str">
        <f>'13.Facility 2 Grain Processing'!A158</f>
        <v>Electricity Charges</v>
      </c>
      <c r="O11" s="296">
        <f>('13.Facility 2 Grain Processing'!B158*'13.Facility 2 Grain Processing'!C158)/('13.Facility 2 Grain Processing'!B5*'13.Facility 2 Grain Processing'!B6)</f>
        <v>16.577777777777776</v>
      </c>
      <c r="P11" s="296">
        <f>O11</f>
        <v>16.577777777777776</v>
      </c>
      <c r="Q11" s="296">
        <f t="shared" ref="Q11" si="3">P11</f>
        <v>16.577777777777776</v>
      </c>
      <c r="R11" s="296">
        <f t="shared" ref="R11" si="4">Q11</f>
        <v>16.577777777777776</v>
      </c>
      <c r="S11" s="291"/>
      <c r="T11" s="291"/>
      <c r="U11" s="294" t="str">
        <f>'17.Facility 6 Horti Processing '!A166</f>
        <v>Electricity Charges</v>
      </c>
      <c r="V11" s="294">
        <f>'17.Facility 6 Horti Processing '!B166*'17.Facility 6 Horti Processing '!C166/('17.Facility 6 Horti Processing '!B5*'17.Facility 6 Horti Processing '!B6)</f>
        <v>0</v>
      </c>
    </row>
    <row r="12" spans="3:22" x14ac:dyDescent="0.25">
      <c r="C12" s="109" t="s">
        <v>1</v>
      </c>
      <c r="D12" s="109"/>
      <c r="E12" s="156"/>
      <c r="F12" s="156">
        <f t="shared" ref="F12:K12" si="5">SUM(F6:F11)</f>
        <v>626728.44192000001</v>
      </c>
      <c r="G12" s="156">
        <f t="shared" si="5"/>
        <v>737041.42737792036</v>
      </c>
      <c r="H12" s="156">
        <f t="shared" si="5"/>
        <v>856795.84361683216</v>
      </c>
      <c r="I12" s="156">
        <f t="shared" si="5"/>
        <v>986707.29690419068</v>
      </c>
      <c r="J12" s="156">
        <f t="shared" si="5"/>
        <v>1127467.9059112431</v>
      </c>
      <c r="K12" s="156">
        <f t="shared" si="5"/>
        <v>1279811.1281869577</v>
      </c>
      <c r="L12" s="150"/>
      <c r="M12" s="150"/>
      <c r="N12" s="294" t="str">
        <f>'13.Facility 2 Grain Processing'!A159</f>
        <v>Loading/Unloading Charges</v>
      </c>
      <c r="O12" s="294">
        <f>'13.Facility 2 Grain Processing'!C159*2</f>
        <v>50</v>
      </c>
      <c r="P12" s="294">
        <f>O12</f>
        <v>50</v>
      </c>
      <c r="Q12" s="294">
        <f t="shared" ref="Q12:R13" si="6">P12</f>
        <v>50</v>
      </c>
      <c r="R12" s="294">
        <f t="shared" si="6"/>
        <v>50</v>
      </c>
      <c r="S12" s="291"/>
      <c r="T12" s="291"/>
      <c r="U12" s="294" t="str">
        <f>'17.Facility 6 Horti Processing '!A167</f>
        <v>Loading/Unloading Charges</v>
      </c>
      <c r="V12" s="294">
        <f>'17.Facility 6 Horti Processing '!C167</f>
        <v>10</v>
      </c>
    </row>
    <row r="13" spans="3:22" x14ac:dyDescent="0.25">
      <c r="C13" s="109"/>
      <c r="D13" s="109"/>
      <c r="E13" s="109"/>
      <c r="F13" s="156"/>
      <c r="G13" s="156"/>
      <c r="H13" s="156"/>
      <c r="I13" s="156"/>
      <c r="J13" s="156"/>
      <c r="K13" s="156"/>
      <c r="L13" s="150"/>
      <c r="M13" s="150"/>
      <c r="N13" s="294" t="str">
        <f>'13.Facility 2 Grain Processing'!A160</f>
        <v>packaging Exp</v>
      </c>
      <c r="O13" s="294">
        <f>'13.Facility 2 Grain Processing'!C160*2</f>
        <v>80</v>
      </c>
      <c r="P13" s="294">
        <f>O13</f>
        <v>80</v>
      </c>
      <c r="Q13" s="294">
        <f t="shared" si="6"/>
        <v>80</v>
      </c>
      <c r="R13" s="294">
        <f t="shared" si="6"/>
        <v>80</v>
      </c>
      <c r="S13" s="291"/>
      <c r="T13" s="291"/>
      <c r="U13" s="294" t="str">
        <f>'17.Facility 6 Horti Processing '!A168</f>
        <v>packaging Exp</v>
      </c>
      <c r="V13" s="109">
        <f>'17.Facility 6 Horti Processing '!C168*100</f>
        <v>200</v>
      </c>
    </row>
    <row r="14" spans="3:22" x14ac:dyDescent="0.25">
      <c r="C14" s="113" t="s">
        <v>339</v>
      </c>
      <c r="D14" s="109"/>
      <c r="E14" s="109"/>
      <c r="F14" s="156"/>
      <c r="G14" s="156"/>
      <c r="H14" s="156"/>
      <c r="I14" s="156"/>
      <c r="J14" s="156"/>
      <c r="K14" s="156"/>
      <c r="L14" s="150"/>
      <c r="M14" s="150"/>
      <c r="N14" s="294"/>
      <c r="O14" s="109"/>
      <c r="P14" s="109"/>
      <c r="Q14" s="109"/>
      <c r="R14" s="109"/>
      <c r="S14" s="291"/>
      <c r="T14" s="291"/>
      <c r="U14" s="109"/>
      <c r="V14" s="109"/>
    </row>
    <row r="15" spans="3:22" x14ac:dyDescent="0.25">
      <c r="C15" s="109" t="str">
        <f>C6</f>
        <v>Agri Input</v>
      </c>
      <c r="D15" s="128">
        <v>0</v>
      </c>
      <c r="E15" s="156">
        <f>SUM('16.Facility 5 Agri Input'!D197:D252)*$D$15</f>
        <v>0</v>
      </c>
      <c r="F15" s="156">
        <f>SUM('16.Facility 5 Agri Input'!E197:E252)*$D$15</f>
        <v>0</v>
      </c>
      <c r="G15" s="156">
        <f>SUM('16.Facility 5 Agri Input'!F197:F252)*$D$15</f>
        <v>0</v>
      </c>
      <c r="H15" s="156">
        <f>SUM('16.Facility 5 Agri Input'!G197:G252)*$D$15</f>
        <v>0</v>
      </c>
      <c r="I15" s="156">
        <f>SUM('16.Facility 5 Agri Input'!H197:H252)*$D$15</f>
        <v>0</v>
      </c>
      <c r="J15" s="156">
        <f>SUM('16.Facility 5 Agri Input'!I197:I252)*$D$15</f>
        <v>0</v>
      </c>
      <c r="K15" s="156">
        <f>SUM('16.Facility 5 Agri Input'!J197:J252)*$D$15</f>
        <v>0</v>
      </c>
      <c r="L15" s="150"/>
      <c r="M15" s="150"/>
      <c r="N15" s="109"/>
      <c r="O15" s="109"/>
      <c r="P15" s="109"/>
      <c r="Q15" s="109"/>
      <c r="R15" s="109"/>
      <c r="U15" s="109"/>
      <c r="V15" s="109"/>
    </row>
    <row r="16" spans="3:22" x14ac:dyDescent="0.25">
      <c r="C16" s="109" t="str">
        <f>C7</f>
        <v>Trading</v>
      </c>
      <c r="D16" s="128">
        <v>0</v>
      </c>
      <c r="E16" s="156">
        <f>SUM('12.Facility 1 - Trading'!D233:D284)*$D$16</f>
        <v>0</v>
      </c>
      <c r="F16" s="156">
        <f>SUM('12.Facility 1 - Trading'!E233:E284)*$D$16</f>
        <v>0</v>
      </c>
      <c r="G16" s="156">
        <f>SUM('12.Facility 1 - Trading'!F233:F284)*$D$16</f>
        <v>0</v>
      </c>
      <c r="H16" s="156">
        <f>SUM('12.Facility 1 - Trading'!G233:G284)*$D$16</f>
        <v>0</v>
      </c>
      <c r="I16" s="156">
        <f>SUM('12.Facility 1 - Trading'!H233:H284)*$D$16</f>
        <v>0</v>
      </c>
      <c r="J16" s="156">
        <f>SUM('12.Facility 1 - Trading'!I233:I284)*$D$16</f>
        <v>0</v>
      </c>
      <c r="K16" s="156">
        <f>SUM('12.Facility 1 - Trading'!J233:J284)*$D$16</f>
        <v>0</v>
      </c>
      <c r="L16" s="150"/>
      <c r="M16" s="150"/>
      <c r="N16" s="292" t="s">
        <v>361</v>
      </c>
      <c r="O16" s="297">
        <f>SUM(O8:O13)</f>
        <v>4879.3555555555549</v>
      </c>
      <c r="P16" s="297">
        <f>SUM(P8:P13)</f>
        <v>5979.3555555555549</v>
      </c>
      <c r="Q16" s="297">
        <f>SUM(Q8:Q13)</f>
        <v>6479.3555555555549</v>
      </c>
      <c r="R16" s="297">
        <f>SUM(R8:R13)</f>
        <v>6179.3555555555549</v>
      </c>
      <c r="U16" s="292" t="s">
        <v>1</v>
      </c>
      <c r="V16" s="297">
        <f>SUM(V8:V15)</f>
        <v>9710</v>
      </c>
    </row>
    <row r="17" spans="1:18" x14ac:dyDescent="0.25">
      <c r="C17" s="109" t="str">
        <f>C8</f>
        <v xml:space="preserve">Grain Processing </v>
      </c>
      <c r="D17" s="128">
        <v>0.01</v>
      </c>
      <c r="E17" s="156">
        <f>SUM('13.Facility 2 Grain Processing'!D151:D160)*$D$17</f>
        <v>626728.44192000001</v>
      </c>
      <c r="F17" s="156">
        <f>SUM('13.Facility 2 Grain Processing'!E151:E160)*$D$17</f>
        <v>737041.42737792036</v>
      </c>
      <c r="G17" s="156">
        <f>SUM('13.Facility 2 Grain Processing'!F151:F160)*$D$17</f>
        <v>856795.84361683216</v>
      </c>
      <c r="H17" s="156">
        <f>SUM('13.Facility 2 Grain Processing'!G151:G160)*$D$17</f>
        <v>986707.29690419068</v>
      </c>
      <c r="I17" s="156">
        <f>SUM('13.Facility 2 Grain Processing'!H151:H160)*$D$17</f>
        <v>1127467.9059112431</v>
      </c>
      <c r="J17" s="156">
        <f>SUM('13.Facility 2 Grain Processing'!I151:I160)*$D$17</f>
        <v>1279811.1281869577</v>
      </c>
      <c r="K17" s="156">
        <f>SUM('13.Facility 2 Grain Processing'!J151:J160)*$D$17</f>
        <v>1444598.016284737</v>
      </c>
      <c r="L17" s="150"/>
      <c r="M17" s="150"/>
    </row>
    <row r="18" spans="1:18" x14ac:dyDescent="0.25">
      <c r="C18" s="109" t="s">
        <v>513</v>
      </c>
      <c r="D18" s="128">
        <v>0</v>
      </c>
      <c r="E18" s="156">
        <f>SUM('17.Facility 6 Horti Processing '!D163:D168)*$D$18</f>
        <v>0</v>
      </c>
      <c r="F18" s="156">
        <f>SUM('17.Facility 6 Horti Processing '!E163:E168)*$D$18</f>
        <v>0</v>
      </c>
      <c r="G18" s="156">
        <f>SUM('17.Facility 6 Horti Processing '!F163:F168)*$D$18</f>
        <v>0</v>
      </c>
      <c r="H18" s="156">
        <f>SUM('17.Facility 6 Horti Processing '!G163:G168)*$D$18</f>
        <v>0</v>
      </c>
      <c r="I18" s="156">
        <f>SUM('17.Facility 6 Horti Processing '!H163:H168)*$D$18</f>
        <v>0</v>
      </c>
      <c r="J18" s="156">
        <f>SUM('17.Facility 6 Horti Processing '!I163:I168)*$D$18</f>
        <v>0</v>
      </c>
      <c r="K18" s="156">
        <f>SUM('17.Facility 6 Horti Processing '!J163:J168)*$D$18</f>
        <v>0</v>
      </c>
      <c r="L18" s="150"/>
      <c r="M18" s="150"/>
    </row>
    <row r="19" spans="1:18" x14ac:dyDescent="0.25">
      <c r="C19" s="109"/>
      <c r="D19" s="131"/>
      <c r="E19" s="156"/>
      <c r="F19" s="156"/>
      <c r="G19" s="156"/>
      <c r="H19" s="156"/>
      <c r="I19" s="156"/>
      <c r="J19" s="156"/>
      <c r="K19" s="156"/>
      <c r="L19" s="150"/>
      <c r="M19" s="150"/>
    </row>
    <row r="20" spans="1:18" x14ac:dyDescent="0.25">
      <c r="C20" s="109"/>
      <c r="D20" s="109"/>
      <c r="E20" s="109"/>
      <c r="F20" s="156"/>
      <c r="G20" s="156"/>
      <c r="H20" s="156"/>
      <c r="I20" s="156"/>
      <c r="J20" s="156"/>
      <c r="K20" s="156"/>
      <c r="L20" s="150"/>
      <c r="M20" s="150"/>
    </row>
    <row r="21" spans="1:18" x14ac:dyDescent="0.25">
      <c r="C21" s="109" t="s">
        <v>1</v>
      </c>
      <c r="D21" s="109"/>
      <c r="E21" s="187">
        <f t="shared" ref="E21:K21" si="7">SUM(E15:E20)</f>
        <v>626728.44192000001</v>
      </c>
      <c r="F21" s="156">
        <f t="shared" si="7"/>
        <v>737041.42737792036</v>
      </c>
      <c r="G21" s="156">
        <f t="shared" si="7"/>
        <v>856795.84361683216</v>
      </c>
      <c r="H21" s="156">
        <f t="shared" si="7"/>
        <v>986707.29690419068</v>
      </c>
      <c r="I21" s="156">
        <f t="shared" si="7"/>
        <v>1127467.9059112431</v>
      </c>
      <c r="J21" s="156">
        <f t="shared" si="7"/>
        <v>1279811.1281869577</v>
      </c>
      <c r="K21" s="156">
        <f t="shared" si="7"/>
        <v>1444598.016284737</v>
      </c>
      <c r="L21" s="150"/>
      <c r="M21" s="150"/>
    </row>
    <row r="22" spans="1:18" x14ac:dyDescent="0.25">
      <c r="C22" s="150"/>
      <c r="D22" s="150"/>
      <c r="E22" s="150"/>
      <c r="F22" s="150"/>
      <c r="G22" s="150"/>
      <c r="H22" s="150"/>
      <c r="I22" s="150"/>
      <c r="J22" s="150"/>
      <c r="K22" s="150"/>
      <c r="L22" s="150"/>
      <c r="M22" s="150"/>
    </row>
    <row r="23" spans="1:18" ht="41.1" customHeight="1" x14ac:dyDescent="0.25">
      <c r="A23" s="488" t="s">
        <v>410</v>
      </c>
      <c r="B23" s="488"/>
      <c r="C23" s="488"/>
      <c r="D23" s="488"/>
      <c r="E23" s="488"/>
      <c r="F23" s="488"/>
      <c r="G23" s="488"/>
      <c r="H23" s="488"/>
      <c r="I23" s="488"/>
      <c r="J23" s="488"/>
      <c r="K23" s="488"/>
      <c r="L23" s="298"/>
      <c r="M23" s="298"/>
      <c r="N23" s="298"/>
      <c r="O23" s="299"/>
      <c r="P23" s="299"/>
      <c r="Q23" s="299"/>
      <c r="R23" s="299"/>
    </row>
    <row r="24" spans="1:18" x14ac:dyDescent="0.25">
      <c r="A24" s="104" t="s">
        <v>530</v>
      </c>
    </row>
    <row r="25" spans="1:18" x14ac:dyDescent="0.25">
      <c r="A25" s="104">
        <v>1</v>
      </c>
      <c r="B25" s="104" t="s">
        <v>533</v>
      </c>
    </row>
    <row r="28" spans="1:18" ht="18.75" x14ac:dyDescent="0.3">
      <c r="B28" s="479" t="s">
        <v>556</v>
      </c>
      <c r="C28" s="479"/>
      <c r="D28" s="479"/>
      <c r="E28" s="479"/>
      <c r="F28" s="479"/>
      <c r="G28" s="479"/>
      <c r="H28" s="479"/>
      <c r="I28" s="479"/>
      <c r="J28" s="479"/>
      <c r="K28" s="479"/>
    </row>
    <row r="30" spans="1:18" x14ac:dyDescent="0.25">
      <c r="B30" s="496" t="s">
        <v>144</v>
      </c>
      <c r="C30" s="496" t="s">
        <v>0</v>
      </c>
      <c r="D30" s="497" t="s">
        <v>357</v>
      </c>
      <c r="E30" s="503" t="s">
        <v>157</v>
      </c>
      <c r="F30" s="504"/>
      <c r="G30" s="504"/>
      <c r="H30" s="504"/>
      <c r="I30" s="504"/>
      <c r="J30" s="504"/>
      <c r="K30" s="504"/>
    </row>
    <row r="31" spans="1:18" x14ac:dyDescent="0.25">
      <c r="B31" s="496"/>
      <c r="C31" s="496"/>
      <c r="D31" s="498"/>
      <c r="E31" s="300" t="s">
        <v>2</v>
      </c>
      <c r="F31" s="300" t="s">
        <v>3</v>
      </c>
      <c r="G31" s="300" t="s">
        <v>4</v>
      </c>
      <c r="H31" s="300" t="s">
        <v>5</v>
      </c>
      <c r="I31" s="300" t="s">
        <v>6</v>
      </c>
      <c r="J31" s="300" t="s">
        <v>168</v>
      </c>
      <c r="K31" s="300" t="s">
        <v>167</v>
      </c>
    </row>
    <row r="32" spans="1:18" x14ac:dyDescent="0.25">
      <c r="B32" s="301"/>
      <c r="C32" s="302"/>
      <c r="D32" s="302"/>
      <c r="E32" s="303"/>
      <c r="F32" s="303"/>
      <c r="G32" s="303"/>
      <c r="H32" s="303"/>
      <c r="I32" s="303"/>
      <c r="J32" s="303"/>
      <c r="K32" s="303"/>
    </row>
    <row r="33" spans="2:11" x14ac:dyDescent="0.25">
      <c r="B33" s="304" t="s">
        <v>172</v>
      </c>
      <c r="C33" s="305" t="s">
        <v>340</v>
      </c>
      <c r="D33" s="306"/>
      <c r="E33" s="307"/>
      <c r="F33" s="307"/>
      <c r="G33" s="307"/>
      <c r="H33" s="307"/>
      <c r="I33" s="307"/>
      <c r="J33" s="307"/>
      <c r="K33" s="307"/>
    </row>
    <row r="34" spans="2:11" x14ac:dyDescent="0.25">
      <c r="B34" s="308">
        <v>1</v>
      </c>
      <c r="C34" s="309" t="s">
        <v>359</v>
      </c>
      <c r="D34" s="306">
        <v>14</v>
      </c>
      <c r="E34" s="307">
        <f>('16.Facility 5 Agri Input'!D191/365)*$D$34</f>
        <v>0</v>
      </c>
      <c r="F34" s="307">
        <f>('16.Facility 5 Agri Input'!E191/365)*$D$34</f>
        <v>0</v>
      </c>
      <c r="G34" s="307">
        <f>('16.Facility 5 Agri Input'!F191/365)*$D$34</f>
        <v>0</v>
      </c>
      <c r="H34" s="307">
        <f>('16.Facility 5 Agri Input'!G191/365)*$D$34</f>
        <v>0</v>
      </c>
      <c r="I34" s="307">
        <f>('16.Facility 5 Agri Input'!H191/365)*$D$34</f>
        <v>0</v>
      </c>
      <c r="J34" s="307">
        <f>('16.Facility 5 Agri Input'!I191/365)*$D$34</f>
        <v>0</v>
      </c>
      <c r="K34" s="307">
        <f>('16.Facility 5 Agri Input'!J191/365)*$D$34</f>
        <v>0</v>
      </c>
    </row>
    <row r="35" spans="2:11" x14ac:dyDescent="0.25">
      <c r="B35" s="308">
        <v>2</v>
      </c>
      <c r="C35" s="309" t="s">
        <v>354</v>
      </c>
      <c r="D35" s="306">
        <v>14</v>
      </c>
      <c r="E35" s="307">
        <f>('15. Facility 4 Custom Hiring'!E39/365)*$D$35</f>
        <v>0</v>
      </c>
      <c r="F35" s="307">
        <f>('15. Facility 4 Custom Hiring'!F39/365)*$D$35</f>
        <v>0</v>
      </c>
      <c r="G35" s="307">
        <f>('15. Facility 4 Custom Hiring'!G39/365)*$D$35</f>
        <v>0</v>
      </c>
      <c r="H35" s="307">
        <f>('15. Facility 4 Custom Hiring'!H39/365)*$D$35</f>
        <v>0</v>
      </c>
      <c r="I35" s="307">
        <f>('15. Facility 4 Custom Hiring'!I39/365)*$D$35</f>
        <v>0</v>
      </c>
      <c r="J35" s="307">
        <f>('15. Facility 4 Custom Hiring'!J39/365)*$D$35</f>
        <v>0</v>
      </c>
      <c r="K35" s="307">
        <f>('15. Facility 4 Custom Hiring'!K39/365)*$D$35</f>
        <v>0</v>
      </c>
    </row>
    <row r="36" spans="2:11" x14ac:dyDescent="0.25">
      <c r="B36" s="308">
        <v>3</v>
      </c>
      <c r="C36" s="309" t="s">
        <v>355</v>
      </c>
      <c r="D36" s="306">
        <v>14</v>
      </c>
      <c r="E36" s="307">
        <f>('12.Facility 1 - Trading'!D229/365)*$D$36</f>
        <v>2280438.3640499995</v>
      </c>
      <c r="F36" s="307">
        <f>('12.Facility 1 - Trading'!E229/365)*$D$36</f>
        <v>2633906.3104777494</v>
      </c>
      <c r="G36" s="307">
        <f>('12.Facility 1 - Trading'!F229/365)*$D$36</f>
        <v>2933213.8457593122</v>
      </c>
      <c r="H36" s="307">
        <f>('12.Facility 1 - Trading'!G229/365)*$D$36</f>
        <v>3255867.3687928366</v>
      </c>
      <c r="I36" s="307">
        <f>('12.Facility 1 - Trading'!H229/365)*$D$36</f>
        <v>3603453.209515315</v>
      </c>
      <c r="J36" s="307">
        <f>('12.Facility 1 - Trading'!I229/365)*$D$36</f>
        <v>3977657.9658880606</v>
      </c>
      <c r="K36" s="307">
        <f>('12.Facility 1 - Trading'!J229/365)*$D$36</f>
        <v>4380274.5648742905</v>
      </c>
    </row>
    <row r="37" spans="2:11" x14ac:dyDescent="0.25">
      <c r="B37" s="308">
        <v>4</v>
      </c>
      <c r="C37" s="309" t="s">
        <v>139</v>
      </c>
      <c r="D37" s="306">
        <v>14</v>
      </c>
      <c r="E37" s="307">
        <f>('13.Facility 2 Grain Processing'!D147/365)*$D$37</f>
        <v>2654674.1830882188</v>
      </c>
      <c r="F37" s="307">
        <f>('13.Facility 2 Grain Processing'!E147/365)*$D$37</f>
        <v>3121896.8393117459</v>
      </c>
      <c r="G37" s="307">
        <f>('13.Facility 2 Grain Processing'!F147/365)*$D$37</f>
        <v>3629205.0756999054</v>
      </c>
      <c r="H37" s="307">
        <f>('13.Facility 2 Grain Processing'!G147/365)*$D$37</f>
        <v>4179439.3936286019</v>
      </c>
      <c r="I37" s="307">
        <f>('13.Facility 2 Grain Processing'!H147/365)*$D$37</f>
        <v>4775624.1306609167</v>
      </c>
      <c r="J37" s="307">
        <f>('13.Facility 2 Grain Processing'!I147/365)*$D$37</f>
        <v>5420978.7429123931</v>
      </c>
      <c r="K37" s="307">
        <f>('13.Facility 2 Grain Processing'!J147/365)*$D$37</f>
        <v>6118929.7560623633</v>
      </c>
    </row>
    <row r="38" spans="2:11" x14ac:dyDescent="0.25">
      <c r="B38" s="308">
        <v>5</v>
      </c>
      <c r="C38" s="309" t="s">
        <v>293</v>
      </c>
      <c r="D38" s="306">
        <v>14</v>
      </c>
      <c r="E38" s="307">
        <f>('14. Facility 3 Warehouse'!D23/365)*$D$38</f>
        <v>55232.876712328769</v>
      </c>
      <c r="F38" s="307">
        <f>('14. Facility 3 Warehouse'!E23/365)*$D$38</f>
        <v>61619.178082191793</v>
      </c>
      <c r="G38" s="307">
        <f>('14. Facility 3 Warehouse'!F23/365)*$D$38</f>
        <v>68506.027397260274</v>
      </c>
      <c r="H38" s="307">
        <f>('14. Facility 3 Warehouse'!G23/365)*$D$38</f>
        <v>75927.513698630151</v>
      </c>
      <c r="I38" s="307">
        <f>('14. Facility 3 Warehouse'!H23/365)*$D$38</f>
        <v>83919.883561643874</v>
      </c>
      <c r="J38" s="307">
        <f>('14. Facility 3 Warehouse'!I23/365)*$D$38</f>
        <v>88115.877739726086</v>
      </c>
      <c r="K38" s="307">
        <f>('14. Facility 3 Warehouse'!J23/365)*$D$38</f>
        <v>92521.671626712385</v>
      </c>
    </row>
    <row r="39" spans="2:11" ht="30" x14ac:dyDescent="0.25">
      <c r="B39" s="308">
        <v>6</v>
      </c>
      <c r="C39" s="309" t="s">
        <v>525</v>
      </c>
      <c r="D39" s="306">
        <v>14</v>
      </c>
      <c r="E39" s="307">
        <f>('17.Facility 6 Horti Processing '!D159/365)*$D$39</f>
        <v>0</v>
      </c>
      <c r="F39" s="307">
        <f>('17.Facility 6 Horti Processing '!E159/365)*$D$39</f>
        <v>0</v>
      </c>
      <c r="G39" s="307">
        <f>('17.Facility 6 Horti Processing '!F159/365)*$D$39</f>
        <v>0</v>
      </c>
      <c r="H39" s="307">
        <f>('17.Facility 6 Horti Processing '!G159/365)*$D$39</f>
        <v>0</v>
      </c>
      <c r="I39" s="307">
        <f>('17.Facility 6 Horti Processing '!H159/365)*$D$39</f>
        <v>0</v>
      </c>
      <c r="J39" s="307">
        <f>('17.Facility 6 Horti Processing '!I159/365)*$D$39</f>
        <v>0</v>
      </c>
      <c r="K39" s="307">
        <f>('17.Facility 6 Horti Processing '!J159/365)*$D$39</f>
        <v>0</v>
      </c>
    </row>
    <row r="40" spans="2:11" x14ac:dyDescent="0.25">
      <c r="B40" s="308"/>
      <c r="C40" s="309"/>
      <c r="D40" s="306"/>
      <c r="E40" s="307"/>
      <c r="F40" s="307"/>
      <c r="G40" s="307"/>
      <c r="H40" s="307"/>
      <c r="I40" s="307"/>
      <c r="J40" s="307"/>
      <c r="K40" s="307"/>
    </row>
    <row r="41" spans="2:11" x14ac:dyDescent="0.25">
      <c r="B41" s="304"/>
      <c r="C41" s="305" t="s">
        <v>170</v>
      </c>
      <c r="D41" s="306"/>
      <c r="E41" s="307">
        <f>SUM(E34:E40)</f>
        <v>4990345.4238505466</v>
      </c>
      <c r="F41" s="307">
        <f t="shared" ref="F41:K41" si="8">SUM(F34:F40)</f>
        <v>5817422.3278716868</v>
      </c>
      <c r="G41" s="307">
        <f t="shared" si="8"/>
        <v>6630924.9488564776</v>
      </c>
      <c r="H41" s="307">
        <f t="shared" si="8"/>
        <v>7511234.2761200685</v>
      </c>
      <c r="I41" s="307">
        <f t="shared" si="8"/>
        <v>8462997.2237378769</v>
      </c>
      <c r="J41" s="307">
        <f t="shared" si="8"/>
        <v>9486752.5865401793</v>
      </c>
      <c r="K41" s="307">
        <f t="shared" si="8"/>
        <v>10591725.992563367</v>
      </c>
    </row>
    <row r="42" spans="2:11" x14ac:dyDescent="0.25">
      <c r="B42" s="304" t="s">
        <v>173</v>
      </c>
      <c r="C42" s="305" t="s">
        <v>339</v>
      </c>
      <c r="D42" s="306"/>
      <c r="E42" s="307">
        <f>'5.Closing Stock &amp; W Capital'!E21</f>
        <v>626728.44192000001</v>
      </c>
      <c r="F42" s="307">
        <f>'5.Closing Stock &amp; W Capital'!F21</f>
        <v>737041.42737792036</v>
      </c>
      <c r="G42" s="307">
        <f>'5.Closing Stock &amp; W Capital'!G21</f>
        <v>856795.84361683216</v>
      </c>
      <c r="H42" s="307">
        <f>'5.Closing Stock &amp; W Capital'!H21</f>
        <v>986707.29690419068</v>
      </c>
      <c r="I42" s="307">
        <f>'5.Closing Stock &amp; W Capital'!I21</f>
        <v>1127467.9059112431</v>
      </c>
      <c r="J42" s="307">
        <f>'5.Closing Stock &amp; W Capital'!J21</f>
        <v>1279811.1281869577</v>
      </c>
      <c r="K42" s="307">
        <f>'5.Closing Stock &amp; W Capital'!K21</f>
        <v>1444598.016284737</v>
      </c>
    </row>
    <row r="43" spans="2:11" x14ac:dyDescent="0.25">
      <c r="B43" s="304"/>
      <c r="C43" s="309"/>
      <c r="D43" s="306"/>
      <c r="E43" s="307"/>
      <c r="F43" s="307"/>
      <c r="G43" s="307"/>
      <c r="H43" s="307"/>
      <c r="I43" s="307"/>
      <c r="J43" s="307"/>
      <c r="K43" s="307"/>
    </row>
    <row r="44" spans="2:11" x14ac:dyDescent="0.25">
      <c r="B44" s="501" t="s">
        <v>1</v>
      </c>
      <c r="C44" s="502"/>
      <c r="D44" s="310"/>
      <c r="E44" s="311">
        <f>SUM(E41:E42)</f>
        <v>5617073.8657705467</v>
      </c>
      <c r="F44" s="311">
        <f t="shared" ref="F44:K44" si="9">SUM(F41:F42)</f>
        <v>6554463.7552496074</v>
      </c>
      <c r="G44" s="311">
        <f t="shared" si="9"/>
        <v>7487720.7924733097</v>
      </c>
      <c r="H44" s="311">
        <f t="shared" si="9"/>
        <v>8497941.5730242599</v>
      </c>
      <c r="I44" s="311">
        <f t="shared" si="9"/>
        <v>9590465.1296491195</v>
      </c>
      <c r="J44" s="311">
        <f t="shared" si="9"/>
        <v>10766563.714727137</v>
      </c>
      <c r="K44" s="311">
        <f t="shared" si="9"/>
        <v>12036324.008848105</v>
      </c>
    </row>
    <row r="45" spans="2:11" x14ac:dyDescent="0.25">
      <c r="B45" s="304"/>
      <c r="C45" s="305"/>
      <c r="D45" s="306"/>
      <c r="E45" s="307"/>
      <c r="F45" s="307"/>
      <c r="G45" s="307"/>
      <c r="H45" s="307"/>
      <c r="I45" s="307"/>
      <c r="J45" s="307"/>
      <c r="K45" s="307"/>
    </row>
    <row r="46" spans="2:11" ht="34.5" customHeight="1" x14ac:dyDescent="0.25">
      <c r="B46" s="304" t="s">
        <v>174</v>
      </c>
      <c r="C46" s="309" t="s">
        <v>341</v>
      </c>
      <c r="D46" s="306"/>
      <c r="E46" s="307"/>
      <c r="F46" s="307"/>
      <c r="G46" s="307"/>
      <c r="H46" s="307"/>
      <c r="I46" s="307"/>
      <c r="J46" s="307"/>
      <c r="K46" s="307"/>
    </row>
    <row r="47" spans="2:11" x14ac:dyDescent="0.25">
      <c r="B47" s="308">
        <v>1</v>
      </c>
      <c r="C47" s="309" t="str">
        <f t="shared" ref="C47:C52" si="10">C34</f>
        <v>Agri Input</v>
      </c>
      <c r="D47" s="306">
        <v>7</v>
      </c>
      <c r="E47" s="307">
        <f>('16.Facility 5 Agri Input'!D262/365)*$D$47</f>
        <v>0</v>
      </c>
      <c r="F47" s="307">
        <f>('16.Facility 5 Agri Input'!E262/365)*$D$47</f>
        <v>0</v>
      </c>
      <c r="G47" s="307">
        <f>('16.Facility 5 Agri Input'!F262/365)*$D$47</f>
        <v>0</v>
      </c>
      <c r="H47" s="307">
        <f>('16.Facility 5 Agri Input'!G262/365)*$D$47</f>
        <v>0</v>
      </c>
      <c r="I47" s="307">
        <f>('16.Facility 5 Agri Input'!H262/365)*$D$47</f>
        <v>0</v>
      </c>
      <c r="J47" s="307">
        <f>('16.Facility 5 Agri Input'!I262/365)*$D$47</f>
        <v>0</v>
      </c>
      <c r="K47" s="307">
        <f>('16.Facility 5 Agri Input'!J262/365)*$D$47</f>
        <v>0</v>
      </c>
    </row>
    <row r="48" spans="2:11" x14ac:dyDescent="0.25">
      <c r="B48" s="308">
        <v>2</v>
      </c>
      <c r="C48" s="309" t="str">
        <f t="shared" si="10"/>
        <v>Custom Hiring</v>
      </c>
      <c r="D48" s="306">
        <v>7</v>
      </c>
      <c r="E48" s="307">
        <f>('15. Facility 4 Custom Hiring'!E49/365)*$D$49</f>
        <v>0</v>
      </c>
      <c r="F48" s="307">
        <f>('15. Facility 4 Custom Hiring'!F49/365)*$D$49</f>
        <v>0</v>
      </c>
      <c r="G48" s="307">
        <f>('15. Facility 4 Custom Hiring'!G49/365)*$D$49</f>
        <v>0</v>
      </c>
      <c r="H48" s="307">
        <f>('15. Facility 4 Custom Hiring'!H49/365)*$D$49</f>
        <v>0</v>
      </c>
      <c r="I48" s="307">
        <f>('15. Facility 4 Custom Hiring'!I49/365)*$D$49</f>
        <v>0</v>
      </c>
      <c r="J48" s="307">
        <f>('15. Facility 4 Custom Hiring'!J49/365)*$D$49</f>
        <v>0</v>
      </c>
      <c r="K48" s="307">
        <f>('15. Facility 4 Custom Hiring'!K49/365)*$D$49</f>
        <v>0</v>
      </c>
    </row>
    <row r="49" spans="1:12" x14ac:dyDescent="0.25">
      <c r="B49" s="308">
        <v>3</v>
      </c>
      <c r="C49" s="309" t="str">
        <f t="shared" si="10"/>
        <v>Cleaning &amp; Grading</v>
      </c>
      <c r="D49" s="306">
        <v>7</v>
      </c>
      <c r="E49" s="307">
        <f>('12.Facility 1 - Trading'!D292/365)*$D$49</f>
        <v>1052485.1065527534</v>
      </c>
      <c r="F49" s="307">
        <f>('12.Facility 1 - Trading'!E292/365)*$D$49</f>
        <v>1215623.305728704</v>
      </c>
      <c r="G49" s="307">
        <f>('12.Facility 1 - Trading'!F292/365)*$D$49</f>
        <v>1353774.7585199173</v>
      </c>
      <c r="H49" s="307">
        <f>('12.Facility 1 - Trading'!G292/365)*$D$49</f>
        <v>1502669.1388714099</v>
      </c>
      <c r="I49" s="307">
        <f>('12.Facility 1 - Trading'!H292/365)*$D$49</f>
        <v>1663103.3377889984</v>
      </c>
      <c r="J49" s="307">
        <f>('12.Facility 1 - Trading'!I292/365)*$D$49</f>
        <v>1835787.7254525586</v>
      </c>
      <c r="K49" s="307">
        <f>('12.Facility 1 - Trading'!J292/365)*$D$49</f>
        <v>2021621.1797515405</v>
      </c>
    </row>
    <row r="50" spans="1:12" x14ac:dyDescent="0.25">
      <c r="B50" s="308">
        <v>4</v>
      </c>
      <c r="C50" s="309" t="str">
        <f t="shared" si="10"/>
        <v>Dal Mill</v>
      </c>
      <c r="D50" s="306">
        <v>7</v>
      </c>
      <c r="E50" s="307">
        <f>('13.Facility 2 Grain Processing'!D169/365)*$D$50</f>
        <v>1251106.4081385205</v>
      </c>
      <c r="F50" s="307">
        <f>('13.Facility 2 Grain Processing'!E169/365)*$D$50</f>
        <v>1483337.2549070104</v>
      </c>
      <c r="G50" s="307">
        <f>('13.Facility 2 Grain Processing'!F169/365)*$D$50</f>
        <v>1724513.8602225264</v>
      </c>
      <c r="H50" s="307">
        <f>('13.Facility 2 Grain Processing'!G169/365)*$D$50</f>
        <v>1986145.2858789815</v>
      </c>
      <c r="I50" s="307">
        <f>('13.Facility 2 Grain Processing'!H169/365)*$D$50</f>
        <v>2269629.0335408039</v>
      </c>
      <c r="J50" s="307">
        <f>('13.Facility 2 Grain Processing'!I169/365)*$D$50</f>
        <v>2576445.1384606315</v>
      </c>
      <c r="K50" s="307">
        <f>('13.Facility 2 Grain Processing'!J169/365)*$D$50</f>
        <v>2908321.456637213</v>
      </c>
    </row>
    <row r="51" spans="1:12" x14ac:dyDescent="0.25">
      <c r="B51" s="308">
        <v>5</v>
      </c>
      <c r="C51" s="309" t="str">
        <f t="shared" si="10"/>
        <v>Warehouse</v>
      </c>
      <c r="D51" s="306">
        <v>7</v>
      </c>
      <c r="E51" s="307">
        <f>('14. Facility 3 Warehouse'!D34/365)*$D$51</f>
        <v>4219.178082191781</v>
      </c>
      <c r="F51" s="307">
        <f>('14. Facility 3 Warehouse'!E34/365)*$D$51</f>
        <v>4430.1369863013697</v>
      </c>
      <c r="G51" s="307">
        <f>('14. Facility 3 Warehouse'!F34/365)*$D$51</f>
        <v>4651.643835616439</v>
      </c>
      <c r="H51" s="307">
        <f>('14. Facility 3 Warehouse'!G34/365)*$D$51</f>
        <v>4884.2260273972615</v>
      </c>
      <c r="I51" s="307">
        <f>('14. Facility 3 Warehouse'!H34/365)*$D$51</f>
        <v>5128.4373287671251</v>
      </c>
      <c r="J51" s="307">
        <f>('14. Facility 3 Warehouse'!I34/365)*$D$51</f>
        <v>5384.8591952054812</v>
      </c>
      <c r="K51" s="307">
        <f>('14. Facility 3 Warehouse'!J34/365)*$D$51</f>
        <v>5654.1021549657544</v>
      </c>
    </row>
    <row r="52" spans="1:12" ht="30" x14ac:dyDescent="0.25">
      <c r="B52" s="308"/>
      <c r="C52" s="309" t="str">
        <f t="shared" si="10"/>
        <v>Processing Unit - Horti Commodity</v>
      </c>
      <c r="D52" s="306">
        <v>7</v>
      </c>
      <c r="E52" s="307">
        <f>('17.Facility 6 Horti Processing '!D177/365)*$D$52</f>
        <v>0</v>
      </c>
      <c r="F52" s="307">
        <f>('17.Facility 6 Horti Processing '!E177/365)*$D$52</f>
        <v>0</v>
      </c>
      <c r="G52" s="307">
        <f>('17.Facility 6 Horti Processing '!F177/365)*$D$52</f>
        <v>0</v>
      </c>
      <c r="H52" s="307">
        <f>('17.Facility 6 Horti Processing '!G177/365)*$D$52</f>
        <v>0</v>
      </c>
      <c r="I52" s="307">
        <f>('17.Facility 6 Horti Processing '!H177/365)*$D$52</f>
        <v>0</v>
      </c>
      <c r="J52" s="307">
        <f>('17.Facility 6 Horti Processing '!I177/365)*$D$52</f>
        <v>0</v>
      </c>
      <c r="K52" s="307">
        <f>('17.Facility 6 Horti Processing '!J177/365)*$D$52</f>
        <v>0</v>
      </c>
    </row>
    <row r="53" spans="1:12" x14ac:dyDescent="0.25">
      <c r="B53" s="308"/>
      <c r="C53" s="309"/>
      <c r="D53" s="306"/>
      <c r="E53" s="307"/>
      <c r="F53" s="307"/>
      <c r="G53" s="307"/>
      <c r="H53" s="307"/>
      <c r="I53" s="307"/>
      <c r="J53" s="307"/>
      <c r="K53" s="307"/>
    </row>
    <row r="54" spans="1:12" x14ac:dyDescent="0.25">
      <c r="B54" s="312"/>
      <c r="C54" s="305" t="s">
        <v>1</v>
      </c>
      <c r="D54" s="306"/>
      <c r="E54" s="311">
        <f>SUM(E47:E53)</f>
        <v>2307810.6927734655</v>
      </c>
      <c r="F54" s="311">
        <f t="shared" ref="F54:K54" si="11">SUM(F47:F53)</f>
        <v>2703390.6976220156</v>
      </c>
      <c r="G54" s="311">
        <f t="shared" si="11"/>
        <v>3082940.2625780599</v>
      </c>
      <c r="H54" s="311">
        <f t="shared" si="11"/>
        <v>3493698.6507777888</v>
      </c>
      <c r="I54" s="311">
        <f t="shared" si="11"/>
        <v>3937860.8086585691</v>
      </c>
      <c r="J54" s="311">
        <f t="shared" si="11"/>
        <v>4417617.723108395</v>
      </c>
      <c r="K54" s="311">
        <f t="shared" si="11"/>
        <v>4935596.7385437191</v>
      </c>
    </row>
    <row r="55" spans="1:12" x14ac:dyDescent="0.25">
      <c r="B55" s="304" t="s">
        <v>175</v>
      </c>
      <c r="C55" s="305" t="s">
        <v>155</v>
      </c>
      <c r="D55" s="306"/>
      <c r="E55" s="311">
        <f>E44-E54</f>
        <v>3309263.1729970812</v>
      </c>
      <c r="F55" s="311">
        <f t="shared" ref="F55:K55" si="12">F44-F54</f>
        <v>3851073.0576275918</v>
      </c>
      <c r="G55" s="311">
        <f t="shared" si="12"/>
        <v>4404780.5298952498</v>
      </c>
      <c r="H55" s="311">
        <f t="shared" si="12"/>
        <v>5004242.922246471</v>
      </c>
      <c r="I55" s="311">
        <f t="shared" si="12"/>
        <v>5652604.3209905503</v>
      </c>
      <c r="J55" s="311">
        <f t="shared" si="12"/>
        <v>6348945.9916187422</v>
      </c>
      <c r="K55" s="311">
        <f t="shared" si="12"/>
        <v>7100727.2703043856</v>
      </c>
    </row>
    <row r="56" spans="1:12" x14ac:dyDescent="0.25">
      <c r="B56" s="304"/>
      <c r="C56" s="305" t="s">
        <v>133</v>
      </c>
      <c r="D56" s="313">
        <v>0.2</v>
      </c>
      <c r="E56" s="314">
        <f>ROUND(E55*$D$56,0)</f>
        <v>661853</v>
      </c>
      <c r="F56" s="311"/>
      <c r="G56" s="311"/>
      <c r="H56" s="311"/>
      <c r="I56" s="311"/>
      <c r="J56" s="311"/>
      <c r="K56" s="311"/>
    </row>
    <row r="58" spans="1:12" x14ac:dyDescent="0.25">
      <c r="E58" s="189"/>
    </row>
    <row r="59" spans="1:12" ht="37.15" customHeight="1" x14ac:dyDescent="0.2">
      <c r="A59" s="499" t="s">
        <v>406</v>
      </c>
      <c r="B59" s="500"/>
      <c r="C59" s="500"/>
      <c r="D59" s="500"/>
      <c r="E59" s="500"/>
      <c r="F59" s="500"/>
      <c r="G59" s="500"/>
      <c r="H59" s="500"/>
      <c r="I59" s="500"/>
      <c r="J59" s="500"/>
      <c r="K59" s="500"/>
      <c r="L59" s="500"/>
    </row>
    <row r="60" spans="1:12" x14ac:dyDescent="0.25">
      <c r="A60" s="104" t="s">
        <v>534</v>
      </c>
    </row>
    <row r="61" spans="1:12" x14ac:dyDescent="0.25">
      <c r="A61" s="104">
        <v>1</v>
      </c>
      <c r="B61" s="104" t="s">
        <v>535</v>
      </c>
    </row>
    <row r="62" spans="1:12" x14ac:dyDescent="0.25">
      <c r="A62" s="104">
        <v>2</v>
      </c>
      <c r="B62" s="104" t="s">
        <v>536</v>
      </c>
    </row>
    <row r="63" spans="1:12" x14ac:dyDescent="0.25">
      <c r="A63" s="104">
        <v>3</v>
      </c>
      <c r="B63" s="104" t="s">
        <v>537</v>
      </c>
    </row>
  </sheetData>
  <mergeCells count="13">
    <mergeCell ref="U5:V5"/>
    <mergeCell ref="C2:K2"/>
    <mergeCell ref="U6:V6"/>
    <mergeCell ref="N5:R5"/>
    <mergeCell ref="N6:R6"/>
    <mergeCell ref="C30:C31"/>
    <mergeCell ref="B28:K28"/>
    <mergeCell ref="D30:D31"/>
    <mergeCell ref="A23:K23"/>
    <mergeCell ref="A59:L59"/>
    <mergeCell ref="B44:C44"/>
    <mergeCell ref="B30:B31"/>
    <mergeCell ref="E30:K30"/>
  </mergeCells>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58"/>
  <sheetViews>
    <sheetView view="pageBreakPreview" topLeftCell="A9" zoomScale="60" zoomScaleNormal="80" workbookViewId="0">
      <selection activeCell="A5" sqref="A5:H53"/>
    </sheetView>
  </sheetViews>
  <sheetFormatPr defaultColWidth="10" defaultRowHeight="15" x14ac:dyDescent="0.25"/>
  <cols>
    <col min="1" max="1" width="39.140625" style="104" bestFit="1" customWidth="1"/>
    <col min="2" max="2" width="18.7109375" style="104" customWidth="1"/>
    <col min="3" max="4" width="18.7109375" style="104" bestFit="1" customWidth="1"/>
    <col min="5" max="8" width="19.140625" style="104" bestFit="1" customWidth="1"/>
    <col min="9" max="9" width="8.5703125" style="104" customWidth="1"/>
    <col min="10" max="10" width="10.28515625" style="104" customWidth="1"/>
    <col min="11" max="11" width="9.5703125" style="104" customWidth="1"/>
    <col min="12" max="16384" width="10" style="104"/>
  </cols>
  <sheetData>
    <row r="4" spans="1:8" ht="18.75" x14ac:dyDescent="0.3">
      <c r="A4" s="482" t="s">
        <v>557</v>
      </c>
      <c r="B4" s="482"/>
      <c r="C4" s="482"/>
      <c r="D4" s="482"/>
      <c r="E4" s="482"/>
      <c r="F4" s="482"/>
      <c r="G4" s="482"/>
      <c r="H4" s="482"/>
    </row>
    <row r="5" spans="1:8" x14ac:dyDescent="0.25">
      <c r="A5" s="165" t="s">
        <v>0</v>
      </c>
      <c r="B5" s="166" t="s">
        <v>2</v>
      </c>
      <c r="C5" s="166" t="s">
        <v>3</v>
      </c>
      <c r="D5" s="166" t="s">
        <v>4</v>
      </c>
      <c r="E5" s="166" t="s">
        <v>5</v>
      </c>
      <c r="F5" s="166" t="s">
        <v>6</v>
      </c>
      <c r="G5" s="166" t="s">
        <v>168</v>
      </c>
      <c r="H5" s="166" t="s">
        <v>167</v>
      </c>
    </row>
    <row r="6" spans="1:8" x14ac:dyDescent="0.25">
      <c r="A6" s="113" t="s">
        <v>126</v>
      </c>
      <c r="B6" s="109"/>
      <c r="C6" s="109"/>
      <c r="D6" s="109"/>
      <c r="E6" s="109"/>
      <c r="F6" s="109"/>
      <c r="G6" s="109"/>
      <c r="H6" s="109"/>
    </row>
    <row r="7" spans="1:8" x14ac:dyDescent="0.25">
      <c r="A7" s="109"/>
      <c r="B7" s="109"/>
      <c r="C7" s="109"/>
      <c r="D7" s="109"/>
      <c r="E7" s="109"/>
      <c r="F7" s="109"/>
      <c r="G7" s="109"/>
      <c r="H7" s="109"/>
    </row>
    <row r="8" spans="1:8" x14ac:dyDescent="0.25">
      <c r="A8" s="109" t="s">
        <v>500</v>
      </c>
      <c r="B8" s="156">
        <f>'12.Facility 1 - Trading'!D229</f>
        <v>59454285.919874981</v>
      </c>
      <c r="C8" s="156">
        <f>'12.Facility 1 - Trading'!E229</f>
        <v>68669700.237455606</v>
      </c>
      <c r="D8" s="156">
        <f>'12.Facility 1 - Trading'!F229</f>
        <v>76473075.26443921</v>
      </c>
      <c r="E8" s="156">
        <f>'12.Facility 1 - Trading'!G229</f>
        <v>84885113.543527529</v>
      </c>
      <c r="F8" s="156">
        <f>'12.Facility 1 - Trading'!H229</f>
        <v>93947172.962363571</v>
      </c>
      <c r="G8" s="156">
        <f>'12.Facility 1 - Trading'!I229</f>
        <v>103703225.53922445</v>
      </c>
      <c r="H8" s="156">
        <f>'12.Facility 1 - Trading'!J229</f>
        <v>114200015.44136544</v>
      </c>
    </row>
    <row r="9" spans="1:8" ht="18.75" customHeight="1" x14ac:dyDescent="0.25">
      <c r="A9" s="109" t="s">
        <v>501</v>
      </c>
      <c r="B9" s="156">
        <f>'13.Facility 2 Grain Processing'!D147</f>
        <v>69211148.344799995</v>
      </c>
      <c r="C9" s="156">
        <f>'13.Facility 2 Grain Processing'!E147</f>
        <v>81392310.453484803</v>
      </c>
      <c r="D9" s="156">
        <f>'13.Facility 2 Grain Processing'!F147</f>
        <v>94618560.902176097</v>
      </c>
      <c r="E9" s="156">
        <f>'13.Facility 2 Grain Processing'!G147</f>
        <v>108963955.61960283</v>
      </c>
      <c r="F9" s="156">
        <f>'13.Facility 2 Grain Processing'!H147</f>
        <v>124507343.40651676</v>
      </c>
      <c r="G9" s="156">
        <f>'13.Facility 2 Grain Processing'!I147</f>
        <v>141332660.08307311</v>
      </c>
      <c r="H9" s="156">
        <f>'13.Facility 2 Grain Processing'!J147</f>
        <v>159529240.06876877</v>
      </c>
    </row>
    <row r="10" spans="1:8" x14ac:dyDescent="0.25">
      <c r="A10" s="109" t="s">
        <v>502</v>
      </c>
      <c r="B10" s="156">
        <f>'14. Facility 3 Warehouse'!D23</f>
        <v>1440000</v>
      </c>
      <c r="C10" s="156">
        <f>'14. Facility 3 Warehouse'!E23</f>
        <v>1606500.0000000002</v>
      </c>
      <c r="D10" s="156">
        <f>'14. Facility 3 Warehouse'!F23</f>
        <v>1786050.0000000002</v>
      </c>
      <c r="E10" s="156">
        <f>'14. Facility 3 Warehouse'!G23</f>
        <v>1979538.7500000007</v>
      </c>
      <c r="F10" s="156">
        <f>'14. Facility 3 Warehouse'!H23</f>
        <v>2187911.2500000009</v>
      </c>
      <c r="G10" s="156">
        <f>'14. Facility 3 Warehouse'!I23</f>
        <v>2297306.8125000014</v>
      </c>
      <c r="H10" s="156">
        <f>'14. Facility 3 Warehouse'!J23</f>
        <v>2412172.1531250016</v>
      </c>
    </row>
    <row r="11" spans="1:8" hidden="1" x14ac:dyDescent="0.25">
      <c r="A11" s="109" t="s">
        <v>503</v>
      </c>
      <c r="B11" s="156">
        <f>'15. Facility 4 Custom Hiring'!E39</f>
        <v>0</v>
      </c>
      <c r="C11" s="156">
        <f>'15. Facility 4 Custom Hiring'!F39</f>
        <v>0</v>
      </c>
      <c r="D11" s="156">
        <f>'15. Facility 4 Custom Hiring'!G39</f>
        <v>0</v>
      </c>
      <c r="E11" s="156">
        <f>'15. Facility 4 Custom Hiring'!H39</f>
        <v>0</v>
      </c>
      <c r="F11" s="156">
        <f>'15. Facility 4 Custom Hiring'!I39</f>
        <v>0</v>
      </c>
      <c r="G11" s="156">
        <f>'15. Facility 4 Custom Hiring'!J39</f>
        <v>0</v>
      </c>
      <c r="H11" s="156">
        <f>'15. Facility 4 Custom Hiring'!K39</f>
        <v>0</v>
      </c>
    </row>
    <row r="12" spans="1:8" hidden="1" x14ac:dyDescent="0.25">
      <c r="A12" s="109" t="s">
        <v>499</v>
      </c>
      <c r="B12" s="156">
        <f>'16.Facility 5 Agri Input'!D191</f>
        <v>0</v>
      </c>
      <c r="C12" s="156">
        <f>'16.Facility 5 Agri Input'!E191</f>
        <v>0</v>
      </c>
      <c r="D12" s="156">
        <f>'16.Facility 5 Agri Input'!F191</f>
        <v>0</v>
      </c>
      <c r="E12" s="156">
        <f>'16.Facility 5 Agri Input'!G191</f>
        <v>0</v>
      </c>
      <c r="F12" s="156">
        <f>'16.Facility 5 Agri Input'!H191</f>
        <v>0</v>
      </c>
      <c r="G12" s="156">
        <f>'16.Facility 5 Agri Input'!I191</f>
        <v>0</v>
      </c>
      <c r="H12" s="156">
        <f>'16.Facility 5 Agri Input'!J191</f>
        <v>0</v>
      </c>
    </row>
    <row r="13" spans="1:8" hidden="1" x14ac:dyDescent="0.25">
      <c r="A13" s="109" t="s">
        <v>524</v>
      </c>
      <c r="B13" s="156">
        <f>'17.Facility 6 Horti Processing '!D159</f>
        <v>0</v>
      </c>
      <c r="C13" s="156">
        <f>'17.Facility 6 Horti Processing '!E159</f>
        <v>0</v>
      </c>
      <c r="D13" s="156">
        <f>'17.Facility 6 Horti Processing '!F159</f>
        <v>0</v>
      </c>
      <c r="E13" s="156">
        <f>'17.Facility 6 Horti Processing '!G159</f>
        <v>0</v>
      </c>
      <c r="F13" s="156">
        <f>'17.Facility 6 Horti Processing '!H159</f>
        <v>0</v>
      </c>
      <c r="G13" s="156">
        <f>'17.Facility 6 Horti Processing '!I159</f>
        <v>0</v>
      </c>
      <c r="H13" s="156">
        <f>'17.Facility 6 Horti Processing '!J159</f>
        <v>0</v>
      </c>
    </row>
    <row r="14" spans="1:8" x14ac:dyDescent="0.25">
      <c r="A14" s="109"/>
      <c r="B14" s="156"/>
      <c r="C14" s="156"/>
      <c r="D14" s="156"/>
      <c r="E14" s="156"/>
      <c r="F14" s="156"/>
      <c r="G14" s="156"/>
      <c r="H14" s="156"/>
    </row>
    <row r="15" spans="1:8" x14ac:dyDescent="0.25">
      <c r="A15" s="113" t="s">
        <v>142</v>
      </c>
      <c r="B15" s="155">
        <f>SUM(B8:B14)</f>
        <v>130105434.26467498</v>
      </c>
      <c r="C15" s="155">
        <f t="shared" ref="C15:H15" si="0">SUM(C8:C14)</f>
        <v>151668510.69094041</v>
      </c>
      <c r="D15" s="155">
        <f t="shared" si="0"/>
        <v>172877686.16661531</v>
      </c>
      <c r="E15" s="155">
        <f t="shared" si="0"/>
        <v>195828607.91313034</v>
      </c>
      <c r="F15" s="155">
        <f t="shared" si="0"/>
        <v>220642427.61888033</v>
      </c>
      <c r="G15" s="155">
        <f t="shared" si="0"/>
        <v>247333192.43479756</v>
      </c>
      <c r="H15" s="155">
        <f t="shared" si="0"/>
        <v>276141427.66325921</v>
      </c>
    </row>
    <row r="16" spans="1:8" x14ac:dyDescent="0.25">
      <c r="A16" s="109"/>
      <c r="B16" s="156"/>
      <c r="C16" s="156"/>
      <c r="D16" s="156"/>
      <c r="E16" s="156"/>
      <c r="F16" s="156"/>
      <c r="G16" s="156"/>
      <c r="H16" s="156"/>
    </row>
    <row r="17" spans="1:8" x14ac:dyDescent="0.25">
      <c r="A17" s="113" t="s">
        <v>305</v>
      </c>
      <c r="B17" s="156"/>
      <c r="C17" s="156"/>
      <c r="D17" s="156"/>
      <c r="E17" s="156"/>
      <c r="F17" s="156"/>
      <c r="G17" s="156"/>
      <c r="H17" s="156"/>
    </row>
    <row r="18" spans="1:8" x14ac:dyDescent="0.25">
      <c r="A18" s="109" t="str">
        <f t="shared" ref="A18:A23" si="1">A8</f>
        <v>Faclitiy 1 - Cleaning &amp; Grading</v>
      </c>
      <c r="B18" s="156">
        <f>'12.Facility 1 - Trading'!D292</f>
        <v>54879580.555964991</v>
      </c>
      <c r="C18" s="156">
        <f>'12.Facility 1 - Trading'!E292</f>
        <v>63386072.370139569</v>
      </c>
      <c r="D18" s="156">
        <f>'12.Facility 1 - Trading'!F292</f>
        <v>70589683.837109968</v>
      </c>
      <c r="E18" s="156">
        <f>'12.Facility 1 - Trading'!G292</f>
        <v>78353462.241152078</v>
      </c>
      <c r="F18" s="156">
        <f>'12.Facility 1 - Trading'!H292</f>
        <v>86718959.756140634</v>
      </c>
      <c r="G18" s="156">
        <f>'12.Facility 1 - Trading'!I292</f>
        <v>95723217.112883404</v>
      </c>
      <c r="H18" s="156">
        <f>'12.Facility 1 - Trading'!J292</f>
        <v>105413104.37275891</v>
      </c>
    </row>
    <row r="19" spans="1:8" x14ac:dyDescent="0.25">
      <c r="A19" s="109" t="str">
        <f t="shared" si="1"/>
        <v>Faclitiy 2 - Processing Unit- Dal Mill</v>
      </c>
      <c r="B19" s="156">
        <f>'13.Facility 2 Grain Processing'!D169</f>
        <v>65236262.710080005</v>
      </c>
      <c r="C19" s="156">
        <f>'13.Facility 2 Grain Processing'!E169</f>
        <v>77345442.577294111</v>
      </c>
      <c r="D19" s="156">
        <f>'13.Facility 2 Grain Processing'!F169</f>
        <v>89921079.854460314</v>
      </c>
      <c r="E19" s="156">
        <f>'13.Facility 2 Grain Processing'!G169</f>
        <v>103563289.90654691</v>
      </c>
      <c r="F19" s="156">
        <f>'13.Facility 2 Grain Processing'!H169</f>
        <v>118344942.46319905</v>
      </c>
      <c r="G19" s="156">
        <f>'13.Facility 2 Grain Processing'!I169</f>
        <v>134343210.79116151</v>
      </c>
      <c r="H19" s="156">
        <f>'13.Facility 2 Grain Processing'!J169</f>
        <v>151648190.23894039</v>
      </c>
    </row>
    <row r="20" spans="1:8" x14ac:dyDescent="0.25">
      <c r="A20" s="109" t="str">
        <f t="shared" si="1"/>
        <v>Faclitiy 3 - Warehouse</v>
      </c>
      <c r="B20" s="156">
        <f>'14. Facility 3 Warehouse'!D34</f>
        <v>220000</v>
      </c>
      <c r="C20" s="156">
        <f>'14. Facility 3 Warehouse'!E34</f>
        <v>231000</v>
      </c>
      <c r="D20" s="156">
        <f>'14. Facility 3 Warehouse'!F34</f>
        <v>242550</v>
      </c>
      <c r="E20" s="156">
        <f>'14. Facility 3 Warehouse'!G34</f>
        <v>254677.50000000006</v>
      </c>
      <c r="F20" s="156">
        <f>'14. Facility 3 Warehouse'!H34</f>
        <v>267411.37500000006</v>
      </c>
      <c r="G20" s="156">
        <f>'14. Facility 3 Warehouse'!I34</f>
        <v>280781.94375000009</v>
      </c>
      <c r="H20" s="156">
        <f>'14. Facility 3 Warehouse'!J34</f>
        <v>294821.04093750007</v>
      </c>
    </row>
    <row r="21" spans="1:8" hidden="1" x14ac:dyDescent="0.25">
      <c r="A21" s="109" t="str">
        <f t="shared" si="1"/>
        <v xml:space="preserve">Faclitiy 4 - Custom Hiring </v>
      </c>
      <c r="B21" s="156">
        <f>'15. Facility 4 Custom Hiring'!E49</f>
        <v>0</v>
      </c>
      <c r="C21" s="156">
        <f>'15. Facility 4 Custom Hiring'!F49</f>
        <v>0</v>
      </c>
      <c r="D21" s="156">
        <f>'15. Facility 4 Custom Hiring'!G49</f>
        <v>0</v>
      </c>
      <c r="E21" s="156">
        <f>'15. Facility 4 Custom Hiring'!H49</f>
        <v>0</v>
      </c>
      <c r="F21" s="156">
        <f>'15. Facility 4 Custom Hiring'!I49</f>
        <v>0</v>
      </c>
      <c r="G21" s="156">
        <f>'15. Facility 4 Custom Hiring'!J49</f>
        <v>0</v>
      </c>
      <c r="H21" s="156">
        <f>'15. Facility 4 Custom Hiring'!K49</f>
        <v>0</v>
      </c>
    </row>
    <row r="22" spans="1:8" hidden="1" x14ac:dyDescent="0.25">
      <c r="A22" s="109" t="str">
        <f t="shared" si="1"/>
        <v>Faclitiy 5 - Agri Input Centre</v>
      </c>
      <c r="B22" s="156">
        <f>'16.Facility 5 Agri Input'!D262</f>
        <v>0</v>
      </c>
      <c r="C22" s="156">
        <f>'16.Facility 5 Agri Input'!E262</f>
        <v>0</v>
      </c>
      <c r="D22" s="156">
        <f>'16.Facility 5 Agri Input'!F262</f>
        <v>0</v>
      </c>
      <c r="E22" s="156">
        <f>'16.Facility 5 Agri Input'!G262</f>
        <v>0</v>
      </c>
      <c r="F22" s="156">
        <f>'16.Facility 5 Agri Input'!H262</f>
        <v>0</v>
      </c>
      <c r="G22" s="156">
        <f>'16.Facility 5 Agri Input'!I262</f>
        <v>0</v>
      </c>
      <c r="H22" s="156">
        <f>'16.Facility 5 Agri Input'!J262</f>
        <v>0</v>
      </c>
    </row>
    <row r="23" spans="1:8" hidden="1" x14ac:dyDescent="0.25">
      <c r="A23" s="109" t="str">
        <f t="shared" si="1"/>
        <v>Facility 6 - Processing Unit - Horti Commodity</v>
      </c>
      <c r="B23" s="156">
        <f>'17.Facility 6 Horti Processing '!D177</f>
        <v>0</v>
      </c>
      <c r="C23" s="156">
        <f>'17.Facility 6 Horti Processing '!E177</f>
        <v>0</v>
      </c>
      <c r="D23" s="156">
        <f>'17.Facility 6 Horti Processing '!F177</f>
        <v>0</v>
      </c>
      <c r="E23" s="156">
        <f>'17.Facility 6 Horti Processing '!G177</f>
        <v>0</v>
      </c>
      <c r="F23" s="156">
        <f>'17.Facility 6 Horti Processing '!H177</f>
        <v>0</v>
      </c>
      <c r="G23" s="156">
        <f>'17.Facility 6 Horti Processing '!I177</f>
        <v>0</v>
      </c>
      <c r="H23" s="156">
        <f>'17.Facility 6 Horti Processing '!J177</f>
        <v>0</v>
      </c>
    </row>
    <row r="24" spans="1:8" x14ac:dyDescent="0.25">
      <c r="A24" s="109"/>
      <c r="B24" s="156"/>
      <c r="C24" s="156"/>
      <c r="D24" s="156"/>
      <c r="E24" s="156"/>
      <c r="F24" s="156"/>
      <c r="G24" s="156"/>
      <c r="H24" s="156"/>
    </row>
    <row r="25" spans="1:8" x14ac:dyDescent="0.25">
      <c r="A25" s="113" t="s">
        <v>313</v>
      </c>
      <c r="B25" s="155">
        <f>SUM(B18:B24)</f>
        <v>120335843.266045</v>
      </c>
      <c r="C25" s="155">
        <f t="shared" ref="C25:H25" si="2">SUM(C18:C24)</f>
        <v>140962514.94743368</v>
      </c>
      <c r="D25" s="155">
        <f t="shared" si="2"/>
        <v>160753313.69157028</v>
      </c>
      <c r="E25" s="155">
        <f t="shared" si="2"/>
        <v>182171429.647699</v>
      </c>
      <c r="F25" s="155">
        <f t="shared" si="2"/>
        <v>205331313.59433967</v>
      </c>
      <c r="G25" s="155">
        <f t="shared" si="2"/>
        <v>230347209.84779492</v>
      </c>
      <c r="H25" s="155">
        <f t="shared" si="2"/>
        <v>257356115.6526368</v>
      </c>
    </row>
    <row r="26" spans="1:8" x14ac:dyDescent="0.25">
      <c r="A26" s="109"/>
      <c r="B26" s="156"/>
      <c r="C26" s="156"/>
      <c r="D26" s="156"/>
      <c r="E26" s="156"/>
      <c r="F26" s="156"/>
      <c r="G26" s="156"/>
      <c r="H26" s="156"/>
    </row>
    <row r="27" spans="1:8" x14ac:dyDescent="0.25">
      <c r="A27" s="113" t="s">
        <v>303</v>
      </c>
      <c r="B27" s="156"/>
      <c r="C27" s="156"/>
      <c r="D27" s="156"/>
      <c r="E27" s="156"/>
      <c r="F27" s="156"/>
      <c r="G27" s="156"/>
      <c r="H27" s="156"/>
    </row>
    <row r="28" spans="1:8" x14ac:dyDescent="0.25">
      <c r="A28" s="109" t="str">
        <f t="shared" ref="A28:A33" si="3">A18</f>
        <v>Faclitiy 1 - Cleaning &amp; Grading</v>
      </c>
      <c r="B28" s="156">
        <f>'12.Facility 1 - Trading'!D301</f>
        <v>190800</v>
      </c>
      <c r="C28" s="156">
        <f>'12.Facility 1 - Trading'!E301</f>
        <v>200340</v>
      </c>
      <c r="D28" s="156">
        <f>'12.Facility 1 - Trading'!F301</f>
        <v>210357</v>
      </c>
      <c r="E28" s="156">
        <f>'12.Facility 1 - Trading'!G301</f>
        <v>220874.85000000003</v>
      </c>
      <c r="F28" s="156">
        <f>'12.Facility 1 - Trading'!H301</f>
        <v>231918.59250000003</v>
      </c>
      <c r="G28" s="156">
        <f>'12.Facility 1 - Trading'!I301</f>
        <v>243514.52212500005</v>
      </c>
      <c r="H28" s="156">
        <f>'12.Facility 1 - Trading'!J301</f>
        <v>255690.24823125009</v>
      </c>
    </row>
    <row r="29" spans="1:8" x14ac:dyDescent="0.25">
      <c r="A29" s="109" t="str">
        <f t="shared" si="3"/>
        <v>Faclitiy 2 - Processing Unit- Dal Mill</v>
      </c>
      <c r="B29" s="156">
        <f>'13.Facility 2 Grain Processing'!D177</f>
        <v>780000</v>
      </c>
      <c r="C29" s="156">
        <f>'13.Facility 2 Grain Processing'!E177</f>
        <v>819000</v>
      </c>
      <c r="D29" s="156">
        <f>'13.Facility 2 Grain Processing'!F177</f>
        <v>859950</v>
      </c>
      <c r="E29" s="156">
        <f>'13.Facility 2 Grain Processing'!G177</f>
        <v>902947.50000000012</v>
      </c>
      <c r="F29" s="156">
        <f>'13.Facility 2 Grain Processing'!H177</f>
        <v>948094.87500000012</v>
      </c>
      <c r="G29" s="156">
        <f>'13.Facility 2 Grain Processing'!I177</f>
        <v>995499.61875000026</v>
      </c>
      <c r="H29" s="156">
        <f>'13.Facility 2 Grain Processing'!J177</f>
        <v>1045274.5996875004</v>
      </c>
    </row>
    <row r="30" spans="1:8" x14ac:dyDescent="0.25">
      <c r="A30" s="109" t="str">
        <f t="shared" si="3"/>
        <v>Faclitiy 3 - Warehouse</v>
      </c>
      <c r="B30" s="156">
        <f>'14. Facility 3 Warehouse'!D43</f>
        <v>240000</v>
      </c>
      <c r="C30" s="156">
        <f>'14. Facility 3 Warehouse'!E43</f>
        <v>252000</v>
      </c>
      <c r="D30" s="156">
        <f>'14. Facility 3 Warehouse'!F43</f>
        <v>264600</v>
      </c>
      <c r="E30" s="156">
        <f>'14. Facility 3 Warehouse'!G43</f>
        <v>277830.00000000006</v>
      </c>
      <c r="F30" s="156">
        <f>'14. Facility 3 Warehouse'!H43</f>
        <v>291721.50000000006</v>
      </c>
      <c r="G30" s="156">
        <f>'14. Facility 3 Warehouse'!I43</f>
        <v>306307.57500000007</v>
      </c>
      <c r="H30" s="156">
        <f>'14. Facility 3 Warehouse'!J43</f>
        <v>321622.9537500001</v>
      </c>
    </row>
    <row r="31" spans="1:8" hidden="1" x14ac:dyDescent="0.25">
      <c r="A31" s="109" t="str">
        <f t="shared" si="3"/>
        <v xml:space="preserve">Faclitiy 4 - Custom Hiring </v>
      </c>
      <c r="B31" s="156">
        <f>'15. Facility 4 Custom Hiring'!E56</f>
        <v>0</v>
      </c>
      <c r="C31" s="156">
        <f>'15. Facility 4 Custom Hiring'!F56</f>
        <v>0</v>
      </c>
      <c r="D31" s="156">
        <f>'15. Facility 4 Custom Hiring'!G56</f>
        <v>0</v>
      </c>
      <c r="E31" s="156">
        <f>'15. Facility 4 Custom Hiring'!H56</f>
        <v>0</v>
      </c>
      <c r="F31" s="156">
        <f>'15. Facility 4 Custom Hiring'!I56</f>
        <v>0</v>
      </c>
      <c r="G31" s="156">
        <f>'15. Facility 4 Custom Hiring'!J56</f>
        <v>0</v>
      </c>
      <c r="H31" s="156">
        <f>'15. Facility 4 Custom Hiring'!K56</f>
        <v>0</v>
      </c>
    </row>
    <row r="32" spans="1:8" hidden="1" x14ac:dyDescent="0.25">
      <c r="A32" s="109" t="str">
        <f t="shared" si="3"/>
        <v>Faclitiy 5 - Agri Input Centre</v>
      </c>
      <c r="B32" s="156">
        <f>'16.Facility 5 Agri Input'!D273</f>
        <v>0</v>
      </c>
      <c r="C32" s="156">
        <f>'16.Facility 5 Agri Input'!E273</f>
        <v>0</v>
      </c>
      <c r="D32" s="156">
        <f>'16.Facility 5 Agri Input'!F273</f>
        <v>0</v>
      </c>
      <c r="E32" s="156">
        <f>'16.Facility 5 Agri Input'!G273</f>
        <v>0</v>
      </c>
      <c r="F32" s="156">
        <f>'16.Facility 5 Agri Input'!H273</f>
        <v>0</v>
      </c>
      <c r="G32" s="156">
        <f>'16.Facility 5 Agri Input'!I273</f>
        <v>0</v>
      </c>
      <c r="H32" s="156">
        <f>'16.Facility 5 Agri Input'!J273</f>
        <v>0</v>
      </c>
    </row>
    <row r="33" spans="1:10" hidden="1" x14ac:dyDescent="0.25">
      <c r="A33" s="109" t="str">
        <f t="shared" si="3"/>
        <v>Facility 6 - Processing Unit - Horti Commodity</v>
      </c>
      <c r="B33" s="156">
        <f>'17.Facility 6 Horti Processing '!D185</f>
        <v>0</v>
      </c>
      <c r="C33" s="156">
        <f>'17.Facility 6 Horti Processing '!E185</f>
        <v>0</v>
      </c>
      <c r="D33" s="156">
        <f>'17.Facility 6 Horti Processing '!F185</f>
        <v>0</v>
      </c>
      <c r="E33" s="156">
        <f>'17.Facility 6 Horti Processing '!G185</f>
        <v>0</v>
      </c>
      <c r="F33" s="156">
        <f>'17.Facility 6 Horti Processing '!H185</f>
        <v>0</v>
      </c>
      <c r="G33" s="156">
        <f>'17.Facility 6 Horti Processing '!I185</f>
        <v>0</v>
      </c>
      <c r="H33" s="156">
        <f>'17.Facility 6 Horti Processing '!J185</f>
        <v>0</v>
      </c>
    </row>
    <row r="34" spans="1:10" x14ac:dyDescent="0.25">
      <c r="A34" s="109"/>
      <c r="B34" s="156"/>
      <c r="C34" s="156"/>
      <c r="D34" s="156"/>
      <c r="E34" s="156"/>
      <c r="F34" s="156"/>
      <c r="G34" s="156"/>
      <c r="H34" s="156"/>
    </row>
    <row r="35" spans="1:10" x14ac:dyDescent="0.25">
      <c r="A35" s="109" t="s">
        <v>9</v>
      </c>
      <c r="B35" s="156">
        <f>'3.Other Exp &amp; Taxes'!E23</f>
        <v>1220000</v>
      </c>
      <c r="C35" s="156">
        <f>'3.Other Exp &amp; Taxes'!F23</f>
        <v>1281000</v>
      </c>
      <c r="D35" s="156">
        <f>'3.Other Exp &amp; Taxes'!G23</f>
        <v>1345050</v>
      </c>
      <c r="E35" s="156">
        <f>'3.Other Exp &amp; Taxes'!H23</f>
        <v>1412302.5000000002</v>
      </c>
      <c r="F35" s="156">
        <f>'3.Other Exp &amp; Taxes'!I23</f>
        <v>1482917.6250000002</v>
      </c>
      <c r="G35" s="156">
        <f>'3.Other Exp &amp; Taxes'!J23</f>
        <v>1557063.5062500003</v>
      </c>
      <c r="H35" s="156">
        <f>'3.Other Exp &amp; Taxes'!K23</f>
        <v>1634916.6815625005</v>
      </c>
    </row>
    <row r="36" spans="1:10" x14ac:dyDescent="0.25">
      <c r="A36" s="113" t="s">
        <v>317</v>
      </c>
      <c r="B36" s="155">
        <f t="shared" ref="B36:H36" si="4">SUM(B28:B35)</f>
        <v>2430800</v>
      </c>
      <c r="C36" s="155">
        <f t="shared" si="4"/>
        <v>2552340</v>
      </c>
      <c r="D36" s="155">
        <f t="shared" si="4"/>
        <v>2679957</v>
      </c>
      <c r="E36" s="155">
        <f t="shared" si="4"/>
        <v>2813954.8500000006</v>
      </c>
      <c r="F36" s="155">
        <f t="shared" si="4"/>
        <v>2954652.5925000003</v>
      </c>
      <c r="G36" s="155">
        <f t="shared" si="4"/>
        <v>3102385.2221250003</v>
      </c>
      <c r="H36" s="155">
        <f t="shared" si="4"/>
        <v>3257504.4832312511</v>
      </c>
    </row>
    <row r="37" spans="1:10" x14ac:dyDescent="0.25">
      <c r="A37" s="109"/>
      <c r="B37" s="156"/>
      <c r="C37" s="156"/>
      <c r="D37" s="156"/>
      <c r="E37" s="156"/>
      <c r="F37" s="156"/>
      <c r="G37" s="156"/>
      <c r="H37" s="156"/>
    </row>
    <row r="38" spans="1:10" x14ac:dyDescent="0.25">
      <c r="A38" s="113" t="s">
        <v>322</v>
      </c>
      <c r="B38" s="155">
        <f t="shared" ref="B38:H38" si="5">B25+B36</f>
        <v>122766643.266045</v>
      </c>
      <c r="C38" s="155">
        <f t="shared" si="5"/>
        <v>143514854.94743368</v>
      </c>
      <c r="D38" s="155">
        <f t="shared" si="5"/>
        <v>163433270.69157028</v>
      </c>
      <c r="E38" s="155">
        <f t="shared" si="5"/>
        <v>184985384.49769899</v>
      </c>
      <c r="F38" s="155">
        <f t="shared" si="5"/>
        <v>208285966.18683967</v>
      </c>
      <c r="G38" s="155">
        <f t="shared" si="5"/>
        <v>233449595.06991991</v>
      </c>
      <c r="H38" s="155">
        <f t="shared" si="5"/>
        <v>260613620.13586804</v>
      </c>
    </row>
    <row r="39" spans="1:10" x14ac:dyDescent="0.25">
      <c r="A39" s="109"/>
      <c r="B39" s="156"/>
      <c r="C39" s="156"/>
      <c r="D39" s="156"/>
      <c r="E39" s="156"/>
      <c r="F39" s="156"/>
      <c r="G39" s="156"/>
      <c r="H39" s="156"/>
    </row>
    <row r="40" spans="1:10" x14ac:dyDescent="0.25">
      <c r="A40" s="113" t="s">
        <v>135</v>
      </c>
      <c r="B40" s="155">
        <f>B15-B38</f>
        <v>7338790.9986299723</v>
      </c>
      <c r="C40" s="155">
        <f t="shared" ref="C40:H40" si="6">C15-C38</f>
        <v>8153655.7435067296</v>
      </c>
      <c r="D40" s="155">
        <f t="shared" si="6"/>
        <v>9444415.4750450253</v>
      </c>
      <c r="E40" s="155">
        <f t="shared" si="6"/>
        <v>10843223.41543135</v>
      </c>
      <c r="F40" s="155">
        <f t="shared" si="6"/>
        <v>12356461.432040662</v>
      </c>
      <c r="G40" s="155">
        <f t="shared" si="6"/>
        <v>13883597.364877641</v>
      </c>
      <c r="H40" s="155">
        <f t="shared" si="6"/>
        <v>15527807.527391165</v>
      </c>
      <c r="J40" s="211"/>
    </row>
    <row r="41" spans="1:10" x14ac:dyDescent="0.25">
      <c r="A41" s="109"/>
      <c r="B41" s="156"/>
      <c r="C41" s="156"/>
      <c r="D41" s="156"/>
      <c r="E41" s="156"/>
      <c r="F41" s="156"/>
      <c r="G41" s="156"/>
      <c r="H41" s="156"/>
    </row>
    <row r="42" spans="1:10" x14ac:dyDescent="0.25">
      <c r="A42" s="133" t="s">
        <v>17</v>
      </c>
      <c r="B42" s="156">
        <f>'3.Other Exp &amp; Taxes'!C66</f>
        <v>1522876.6802509998</v>
      </c>
      <c r="C42" s="156">
        <f>'3.Other Exp &amp; Taxes'!D66</f>
        <v>1522876.6802509998</v>
      </c>
      <c r="D42" s="156">
        <f>'3.Other Exp &amp; Taxes'!E66</f>
        <v>1522876.6802509998</v>
      </c>
      <c r="E42" s="156">
        <f>'3.Other Exp &amp; Taxes'!F66</f>
        <v>1522876.6802509998</v>
      </c>
      <c r="F42" s="156">
        <f>'3.Other Exp &amp; Taxes'!G66</f>
        <v>1522876.6802509998</v>
      </c>
      <c r="G42" s="156">
        <f>'3.Other Exp &amp; Taxes'!H66</f>
        <v>1522876.6802509998</v>
      </c>
      <c r="H42" s="156">
        <f>'3.Other Exp &amp; Taxes'!I66</f>
        <v>1522876.6802509998</v>
      </c>
      <c r="J42" s="211"/>
    </row>
    <row r="43" spans="1:10" x14ac:dyDescent="0.25">
      <c r="A43" s="133" t="s">
        <v>136</v>
      </c>
      <c r="B43" s="156">
        <f>'3.Other Exp &amp; Taxes'!C86</f>
        <v>0</v>
      </c>
      <c r="C43" s="156">
        <f>'3.Other Exp &amp; Taxes'!D86</f>
        <v>0</v>
      </c>
      <c r="D43" s="156">
        <f>'3.Other Exp &amp; Taxes'!E86</f>
        <v>0</v>
      </c>
      <c r="E43" s="156">
        <f>'3.Other Exp &amp; Taxes'!F86</f>
        <v>0</v>
      </c>
      <c r="F43" s="156">
        <f>'3.Other Exp &amp; Taxes'!G86</f>
        <v>0</v>
      </c>
      <c r="G43" s="156">
        <f>'3.Other Exp &amp; Taxes'!H86</f>
        <v>0</v>
      </c>
      <c r="H43" s="156">
        <f>'3.Other Exp &amp; Taxes'!I86</f>
        <v>0</v>
      </c>
    </row>
    <row r="44" spans="1:10" x14ac:dyDescent="0.25">
      <c r="A44" s="109"/>
      <c r="B44" s="156"/>
      <c r="C44" s="156"/>
      <c r="D44" s="156"/>
      <c r="E44" s="156"/>
      <c r="F44" s="156"/>
      <c r="G44" s="156"/>
      <c r="H44" s="156"/>
    </row>
    <row r="45" spans="1:10" x14ac:dyDescent="0.25">
      <c r="A45" s="113" t="s">
        <v>137</v>
      </c>
      <c r="B45" s="155">
        <f>B40-B42-B43</f>
        <v>5815914.3183789728</v>
      </c>
      <c r="C45" s="155">
        <f t="shared" ref="C45:H45" si="7">C40-C42-C43</f>
        <v>6630779.0632557301</v>
      </c>
      <c r="D45" s="155">
        <f t="shared" si="7"/>
        <v>7921538.7947940258</v>
      </c>
      <c r="E45" s="155">
        <f t="shared" si="7"/>
        <v>9320346.73518035</v>
      </c>
      <c r="F45" s="155">
        <f t="shared" si="7"/>
        <v>10833584.751789661</v>
      </c>
      <c r="G45" s="155">
        <f t="shared" si="7"/>
        <v>12360720.684626641</v>
      </c>
      <c r="H45" s="155">
        <f t="shared" si="7"/>
        <v>14004930.847140165</v>
      </c>
    </row>
    <row r="46" spans="1:10" x14ac:dyDescent="0.25">
      <c r="A46" s="109"/>
      <c r="B46" s="156"/>
      <c r="C46" s="156"/>
      <c r="D46" s="156"/>
      <c r="E46" s="156"/>
      <c r="F46" s="156"/>
      <c r="G46" s="156"/>
      <c r="H46" s="156"/>
    </row>
    <row r="47" spans="1:10" x14ac:dyDescent="0.25">
      <c r="A47" s="109" t="s">
        <v>24</v>
      </c>
      <c r="B47" s="156">
        <f>'8.Cash Flow '!C26+'8.Cash Flow '!C28</f>
        <v>1889873.8019519134</v>
      </c>
      <c r="C47" s="156">
        <f>'8.Cash Flow '!D26+'8.Cash Flow '!D28</f>
        <v>1695019.3516535689</v>
      </c>
      <c r="D47" s="156">
        <f>'8.Cash Flow '!E26+'8.Cash Flow '!E28</f>
        <v>1319481.5332905594</v>
      </c>
      <c r="E47" s="156">
        <f>'8.Cash Flow '!F26+'8.Cash Flow '!F28</f>
        <v>893379.83418543753</v>
      </c>
      <c r="F47" s="156">
        <f>'8.Cash Flow '!G26+'8.Cash Flow '!G28</f>
        <v>678312.5185188672</v>
      </c>
      <c r="G47" s="156">
        <f>'8.Cash Flow '!H26+'8.Cash Flow '!H28</f>
        <v>761873.51899425045</v>
      </c>
      <c r="H47" s="156">
        <f>'8.Cash Flow '!I26+'8.Cash Flow '!I28</f>
        <v>852087.27243652625</v>
      </c>
    </row>
    <row r="48" spans="1:10" x14ac:dyDescent="0.25">
      <c r="A48" s="109"/>
      <c r="B48" s="156"/>
      <c r="C48" s="156"/>
      <c r="D48" s="156"/>
      <c r="E48" s="156"/>
      <c r="F48" s="156"/>
      <c r="G48" s="156"/>
      <c r="H48" s="156"/>
    </row>
    <row r="49" spans="1:9" x14ac:dyDescent="0.25">
      <c r="A49" s="109" t="s">
        <v>25</v>
      </c>
      <c r="B49" s="156">
        <f>B45-B47</f>
        <v>3926040.5164270597</v>
      </c>
      <c r="C49" s="156">
        <f t="shared" ref="C49:H49" si="8">C45-C47</f>
        <v>4935759.7116021607</v>
      </c>
      <c r="D49" s="156">
        <f t="shared" si="8"/>
        <v>6602057.2615034664</v>
      </c>
      <c r="E49" s="156">
        <f t="shared" si="8"/>
        <v>8426966.9009949118</v>
      </c>
      <c r="F49" s="156">
        <f t="shared" si="8"/>
        <v>10155272.233270794</v>
      </c>
      <c r="G49" s="156">
        <f t="shared" si="8"/>
        <v>11598847.165632389</v>
      </c>
      <c r="H49" s="156">
        <f t="shared" si="8"/>
        <v>13152843.574703639</v>
      </c>
    </row>
    <row r="50" spans="1:9" x14ac:dyDescent="0.25">
      <c r="A50" s="109" t="s">
        <v>26</v>
      </c>
      <c r="B50" s="156">
        <f>'3.Other Exp &amp; Taxes'!B99</f>
        <v>312555.00280629552</v>
      </c>
      <c r="C50" s="156">
        <f>'3.Other Exp &amp; Taxes'!C99</f>
        <v>733766.24280132179</v>
      </c>
      <c r="D50" s="156">
        <f>'3.Other Exp &amp; Taxes'!D99</f>
        <v>1295422.9085377364</v>
      </c>
      <c r="E50" s="156">
        <f>'3.Other Exp &amp; Taxes'!E99</f>
        <v>1876102.278443276</v>
      </c>
      <c r="F50" s="156">
        <f>'3.Other Exp &amp; Taxes'!F99</f>
        <v>2414793.4302761047</v>
      </c>
      <c r="G50" s="156">
        <f>'3.Other Exp &amp; Taxes'!G99</f>
        <v>2866238.8239419539</v>
      </c>
      <c r="H50" s="156">
        <f>'3.Other Exp &amp; Taxes'!H99</f>
        <v>3335760.241876428</v>
      </c>
    </row>
    <row r="51" spans="1:9" x14ac:dyDescent="0.25">
      <c r="A51" s="113" t="s">
        <v>28</v>
      </c>
      <c r="B51" s="156">
        <f>B49-B50</f>
        <v>3613485.513620764</v>
      </c>
      <c r="C51" s="156">
        <f>C49-C50</f>
        <v>4201993.468800839</v>
      </c>
      <c r="D51" s="156">
        <f>D49-D50</f>
        <v>5306634.3529657302</v>
      </c>
      <c r="E51" s="156">
        <f>E49-E50</f>
        <v>6550864.6225516358</v>
      </c>
      <c r="F51" s="156">
        <f>F49-F50</f>
        <v>7740478.802994689</v>
      </c>
      <c r="G51" s="156">
        <f t="shared" ref="G51:H51" si="9">G49-G50</f>
        <v>8732608.341690436</v>
      </c>
      <c r="H51" s="156">
        <f t="shared" si="9"/>
        <v>9817083.3328272104</v>
      </c>
    </row>
    <row r="52" spans="1:9" x14ac:dyDescent="0.25">
      <c r="A52" s="150"/>
      <c r="B52" s="208"/>
      <c r="C52" s="208"/>
      <c r="D52" s="208"/>
      <c r="E52" s="208"/>
      <c r="F52" s="208"/>
      <c r="G52" s="208"/>
      <c r="H52" s="208"/>
    </row>
    <row r="53" spans="1:9" x14ac:dyDescent="0.25">
      <c r="A53" s="150" t="s">
        <v>504</v>
      </c>
      <c r="B53" s="208">
        <f>B51</f>
        <v>3613485.513620764</v>
      </c>
      <c r="C53" s="208">
        <f t="shared" ref="C53:H53" si="10">B53+C51</f>
        <v>7815478.9824216031</v>
      </c>
      <c r="D53" s="208">
        <f t="shared" si="10"/>
        <v>13122113.335387334</v>
      </c>
      <c r="E53" s="208">
        <f t="shared" si="10"/>
        <v>19672977.957938969</v>
      </c>
      <c r="F53" s="208">
        <f t="shared" si="10"/>
        <v>27413456.76093366</v>
      </c>
      <c r="G53" s="208">
        <f t="shared" si="10"/>
        <v>36146065.102624096</v>
      </c>
      <c r="H53" s="208">
        <f t="shared" si="10"/>
        <v>45963148.435451306</v>
      </c>
    </row>
    <row r="56" spans="1:9" ht="32.65" customHeight="1" x14ac:dyDescent="0.25">
      <c r="A56" s="507" t="s">
        <v>400</v>
      </c>
      <c r="B56" s="507"/>
      <c r="C56" s="507"/>
      <c r="D56" s="507"/>
      <c r="E56" s="507"/>
      <c r="F56" s="507"/>
      <c r="G56" s="507"/>
      <c r="H56" s="507"/>
      <c r="I56" s="507"/>
    </row>
    <row r="58" spans="1:9" x14ac:dyDescent="0.2">
      <c r="A58" s="289"/>
    </row>
  </sheetData>
  <mergeCells count="2">
    <mergeCell ref="A4:H4"/>
    <mergeCell ref="A56:I56"/>
  </mergeCells>
  <pageMargins left="0.7" right="0.7" top="0.75" bottom="0.75" header="0.3" footer="0.3"/>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17" zoomScale="70" zoomScaleNormal="80" zoomScaleSheetLayoutView="70" workbookViewId="0">
      <selection activeCell="A2" sqref="A2:H46"/>
    </sheetView>
  </sheetViews>
  <sheetFormatPr defaultColWidth="10" defaultRowHeight="15" x14ac:dyDescent="0.25"/>
  <cols>
    <col min="1" max="1" width="37.28515625" style="254" customWidth="1"/>
    <col min="2" max="2" width="18.42578125" style="254" customWidth="1"/>
    <col min="3" max="7" width="15.5703125" style="254" bestFit="1" customWidth="1"/>
    <col min="8" max="8" width="15.28515625" style="254" bestFit="1" customWidth="1"/>
    <col min="9" max="9" width="9.28515625" style="254"/>
    <col min="10" max="10" width="32.7109375" style="254" customWidth="1"/>
    <col min="11" max="16" width="8.7109375" style="254"/>
    <col min="17" max="17" width="10.28515625" style="254" customWidth="1"/>
    <col min="18" max="256" width="9.28515625" style="254"/>
    <col min="257" max="257" width="37.28515625" style="254" customWidth="1"/>
    <col min="258" max="258" width="18.42578125" style="254" customWidth="1"/>
    <col min="259" max="262" width="12.42578125" style="254" customWidth="1"/>
    <col min="263" max="263" width="11.7109375" style="254" customWidth="1"/>
    <col min="264" max="512" width="9.28515625" style="254"/>
    <col min="513" max="513" width="37.28515625" style="254" customWidth="1"/>
    <col min="514" max="514" width="18.42578125" style="254" customWidth="1"/>
    <col min="515" max="518" width="12.42578125" style="254" customWidth="1"/>
    <col min="519" max="519" width="11.7109375" style="254" customWidth="1"/>
    <col min="520" max="768" width="9.28515625" style="254"/>
    <col min="769" max="769" width="37.28515625" style="254" customWidth="1"/>
    <col min="770" max="770" width="18.42578125" style="254" customWidth="1"/>
    <col min="771" max="774" width="12.42578125" style="254" customWidth="1"/>
    <col min="775" max="775" width="11.7109375" style="254" customWidth="1"/>
    <col min="776" max="1024" width="9.28515625" style="254"/>
    <col min="1025" max="1025" width="37.28515625" style="254" customWidth="1"/>
    <col min="1026" max="1026" width="18.42578125" style="254" customWidth="1"/>
    <col min="1027" max="1030" width="12.42578125" style="254" customWidth="1"/>
    <col min="1031" max="1031" width="11.7109375" style="254" customWidth="1"/>
    <col min="1032" max="1280" width="9.28515625" style="254"/>
    <col min="1281" max="1281" width="37.28515625" style="254" customWidth="1"/>
    <col min="1282" max="1282" width="18.42578125" style="254" customWidth="1"/>
    <col min="1283" max="1286" width="12.42578125" style="254" customWidth="1"/>
    <col min="1287" max="1287" width="11.7109375" style="254" customWidth="1"/>
    <col min="1288" max="1536" width="9.28515625" style="254"/>
    <col min="1537" max="1537" width="37.28515625" style="254" customWidth="1"/>
    <col min="1538" max="1538" width="18.42578125" style="254" customWidth="1"/>
    <col min="1539" max="1542" width="12.42578125" style="254" customWidth="1"/>
    <col min="1543" max="1543" width="11.7109375" style="254" customWidth="1"/>
    <col min="1544" max="1792" width="9.28515625" style="254"/>
    <col min="1793" max="1793" width="37.28515625" style="254" customWidth="1"/>
    <col min="1794" max="1794" width="18.42578125" style="254" customWidth="1"/>
    <col min="1795" max="1798" width="12.42578125" style="254" customWidth="1"/>
    <col min="1799" max="1799" width="11.7109375" style="254" customWidth="1"/>
    <col min="1800" max="2048" width="9.28515625" style="254"/>
    <col min="2049" max="2049" width="37.28515625" style="254" customWidth="1"/>
    <col min="2050" max="2050" width="18.42578125" style="254" customWidth="1"/>
    <col min="2051" max="2054" width="12.42578125" style="254" customWidth="1"/>
    <col min="2055" max="2055" width="11.7109375" style="254" customWidth="1"/>
    <col min="2056" max="2304" width="9.28515625" style="254"/>
    <col min="2305" max="2305" width="37.28515625" style="254" customWidth="1"/>
    <col min="2306" max="2306" width="18.42578125" style="254" customWidth="1"/>
    <col min="2307" max="2310" width="12.42578125" style="254" customWidth="1"/>
    <col min="2311" max="2311" width="11.7109375" style="254" customWidth="1"/>
    <col min="2312" max="2560" width="9.28515625" style="254"/>
    <col min="2561" max="2561" width="37.28515625" style="254" customWidth="1"/>
    <col min="2562" max="2562" width="18.42578125" style="254" customWidth="1"/>
    <col min="2563" max="2566" width="12.42578125" style="254" customWidth="1"/>
    <col min="2567" max="2567" width="11.7109375" style="254" customWidth="1"/>
    <col min="2568" max="2816" width="9.28515625" style="254"/>
    <col min="2817" max="2817" width="37.28515625" style="254" customWidth="1"/>
    <col min="2818" max="2818" width="18.42578125" style="254" customWidth="1"/>
    <col min="2819" max="2822" width="12.42578125" style="254" customWidth="1"/>
    <col min="2823" max="2823" width="11.7109375" style="254" customWidth="1"/>
    <col min="2824" max="3072" width="9.28515625" style="254"/>
    <col min="3073" max="3073" width="37.28515625" style="254" customWidth="1"/>
    <col min="3074" max="3074" width="18.42578125" style="254" customWidth="1"/>
    <col min="3075" max="3078" width="12.42578125" style="254" customWidth="1"/>
    <col min="3079" max="3079" width="11.7109375" style="254" customWidth="1"/>
    <col min="3080" max="3328" width="9.28515625" style="254"/>
    <col min="3329" max="3329" width="37.28515625" style="254" customWidth="1"/>
    <col min="3330" max="3330" width="18.42578125" style="254" customWidth="1"/>
    <col min="3331" max="3334" width="12.42578125" style="254" customWidth="1"/>
    <col min="3335" max="3335" width="11.7109375" style="254" customWidth="1"/>
    <col min="3336" max="3584" width="9.28515625" style="254"/>
    <col min="3585" max="3585" width="37.28515625" style="254" customWidth="1"/>
    <col min="3586" max="3586" width="18.42578125" style="254" customWidth="1"/>
    <col min="3587" max="3590" width="12.42578125" style="254" customWidth="1"/>
    <col min="3591" max="3591" width="11.7109375" style="254" customWidth="1"/>
    <col min="3592" max="3840" width="9.28515625" style="254"/>
    <col min="3841" max="3841" width="37.28515625" style="254" customWidth="1"/>
    <col min="3842" max="3842" width="18.42578125" style="254" customWidth="1"/>
    <col min="3843" max="3846" width="12.42578125" style="254" customWidth="1"/>
    <col min="3847" max="3847" width="11.7109375" style="254" customWidth="1"/>
    <col min="3848" max="4096" width="9.28515625" style="254"/>
    <col min="4097" max="4097" width="37.28515625" style="254" customWidth="1"/>
    <col min="4098" max="4098" width="18.42578125" style="254" customWidth="1"/>
    <col min="4099" max="4102" width="12.42578125" style="254" customWidth="1"/>
    <col min="4103" max="4103" width="11.7109375" style="254" customWidth="1"/>
    <col min="4104" max="4352" width="9.28515625" style="254"/>
    <col min="4353" max="4353" width="37.28515625" style="254" customWidth="1"/>
    <col min="4354" max="4354" width="18.42578125" style="254" customWidth="1"/>
    <col min="4355" max="4358" width="12.42578125" style="254" customWidth="1"/>
    <col min="4359" max="4359" width="11.7109375" style="254" customWidth="1"/>
    <col min="4360" max="4608" width="9.28515625" style="254"/>
    <col min="4609" max="4609" width="37.28515625" style="254" customWidth="1"/>
    <col min="4610" max="4610" width="18.42578125" style="254" customWidth="1"/>
    <col min="4611" max="4614" width="12.42578125" style="254" customWidth="1"/>
    <col min="4615" max="4615" width="11.7109375" style="254" customWidth="1"/>
    <col min="4616" max="4864" width="9.28515625" style="254"/>
    <col min="4865" max="4865" width="37.28515625" style="254" customWidth="1"/>
    <col min="4866" max="4866" width="18.42578125" style="254" customWidth="1"/>
    <col min="4867" max="4870" width="12.42578125" style="254" customWidth="1"/>
    <col min="4871" max="4871" width="11.7109375" style="254" customWidth="1"/>
    <col min="4872" max="5120" width="9.28515625" style="254"/>
    <col min="5121" max="5121" width="37.28515625" style="254" customWidth="1"/>
    <col min="5122" max="5122" width="18.42578125" style="254" customWidth="1"/>
    <col min="5123" max="5126" width="12.42578125" style="254" customWidth="1"/>
    <col min="5127" max="5127" width="11.7109375" style="254" customWidth="1"/>
    <col min="5128" max="5376" width="9.28515625" style="254"/>
    <col min="5377" max="5377" width="37.28515625" style="254" customWidth="1"/>
    <col min="5378" max="5378" width="18.42578125" style="254" customWidth="1"/>
    <col min="5379" max="5382" width="12.42578125" style="254" customWidth="1"/>
    <col min="5383" max="5383" width="11.7109375" style="254" customWidth="1"/>
    <col min="5384" max="5632" width="9.28515625" style="254"/>
    <col min="5633" max="5633" width="37.28515625" style="254" customWidth="1"/>
    <col min="5634" max="5634" width="18.42578125" style="254" customWidth="1"/>
    <col min="5635" max="5638" width="12.42578125" style="254" customWidth="1"/>
    <col min="5639" max="5639" width="11.7109375" style="254" customWidth="1"/>
    <col min="5640" max="5888" width="9.28515625" style="254"/>
    <col min="5889" max="5889" width="37.28515625" style="254" customWidth="1"/>
    <col min="5890" max="5890" width="18.42578125" style="254" customWidth="1"/>
    <col min="5891" max="5894" width="12.42578125" style="254" customWidth="1"/>
    <col min="5895" max="5895" width="11.7109375" style="254" customWidth="1"/>
    <col min="5896" max="6144" width="9.28515625" style="254"/>
    <col min="6145" max="6145" width="37.28515625" style="254" customWidth="1"/>
    <col min="6146" max="6146" width="18.42578125" style="254" customWidth="1"/>
    <col min="6147" max="6150" width="12.42578125" style="254" customWidth="1"/>
    <col min="6151" max="6151" width="11.7109375" style="254" customWidth="1"/>
    <col min="6152" max="6400" width="9.28515625" style="254"/>
    <col min="6401" max="6401" width="37.28515625" style="254" customWidth="1"/>
    <col min="6402" max="6402" width="18.42578125" style="254" customWidth="1"/>
    <col min="6403" max="6406" width="12.42578125" style="254" customWidth="1"/>
    <col min="6407" max="6407" width="11.7109375" style="254" customWidth="1"/>
    <col min="6408" max="6656" width="9.28515625" style="254"/>
    <col min="6657" max="6657" width="37.28515625" style="254" customWidth="1"/>
    <col min="6658" max="6658" width="18.42578125" style="254" customWidth="1"/>
    <col min="6659" max="6662" width="12.42578125" style="254" customWidth="1"/>
    <col min="6663" max="6663" width="11.7109375" style="254" customWidth="1"/>
    <col min="6664" max="6912" width="9.28515625" style="254"/>
    <col min="6913" max="6913" width="37.28515625" style="254" customWidth="1"/>
    <col min="6914" max="6914" width="18.42578125" style="254" customWidth="1"/>
    <col min="6915" max="6918" width="12.42578125" style="254" customWidth="1"/>
    <col min="6919" max="6919" width="11.7109375" style="254" customWidth="1"/>
    <col min="6920" max="7168" width="9.28515625" style="254"/>
    <col min="7169" max="7169" width="37.28515625" style="254" customWidth="1"/>
    <col min="7170" max="7170" width="18.42578125" style="254" customWidth="1"/>
    <col min="7171" max="7174" width="12.42578125" style="254" customWidth="1"/>
    <col min="7175" max="7175" width="11.7109375" style="254" customWidth="1"/>
    <col min="7176" max="7424" width="9.28515625" style="254"/>
    <col min="7425" max="7425" width="37.28515625" style="254" customWidth="1"/>
    <col min="7426" max="7426" width="18.42578125" style="254" customWidth="1"/>
    <col min="7427" max="7430" width="12.42578125" style="254" customWidth="1"/>
    <col min="7431" max="7431" width="11.7109375" style="254" customWidth="1"/>
    <col min="7432" max="7680" width="9.28515625" style="254"/>
    <col min="7681" max="7681" width="37.28515625" style="254" customWidth="1"/>
    <col min="7682" max="7682" width="18.42578125" style="254" customWidth="1"/>
    <col min="7683" max="7686" width="12.42578125" style="254" customWidth="1"/>
    <col min="7687" max="7687" width="11.7109375" style="254" customWidth="1"/>
    <col min="7688" max="7936" width="9.28515625" style="254"/>
    <col min="7937" max="7937" width="37.28515625" style="254" customWidth="1"/>
    <col min="7938" max="7938" width="18.42578125" style="254" customWidth="1"/>
    <col min="7939" max="7942" width="12.42578125" style="254" customWidth="1"/>
    <col min="7943" max="7943" width="11.7109375" style="254" customWidth="1"/>
    <col min="7944" max="8192" width="9.28515625" style="254"/>
    <col min="8193" max="8193" width="37.28515625" style="254" customWidth="1"/>
    <col min="8194" max="8194" width="18.42578125" style="254" customWidth="1"/>
    <col min="8195" max="8198" width="12.42578125" style="254" customWidth="1"/>
    <col min="8199" max="8199" width="11.7109375" style="254" customWidth="1"/>
    <col min="8200" max="8448" width="9.28515625" style="254"/>
    <col min="8449" max="8449" width="37.28515625" style="254" customWidth="1"/>
    <col min="8450" max="8450" width="18.42578125" style="254" customWidth="1"/>
    <col min="8451" max="8454" width="12.42578125" style="254" customWidth="1"/>
    <col min="8455" max="8455" width="11.7109375" style="254" customWidth="1"/>
    <col min="8456" max="8704" width="9.28515625" style="254"/>
    <col min="8705" max="8705" width="37.28515625" style="254" customWidth="1"/>
    <col min="8706" max="8706" width="18.42578125" style="254" customWidth="1"/>
    <col min="8707" max="8710" width="12.42578125" style="254" customWidth="1"/>
    <col min="8711" max="8711" width="11.7109375" style="254" customWidth="1"/>
    <col min="8712" max="8960" width="9.28515625" style="254"/>
    <col min="8961" max="8961" width="37.28515625" style="254" customWidth="1"/>
    <col min="8962" max="8962" width="18.42578125" style="254" customWidth="1"/>
    <col min="8963" max="8966" width="12.42578125" style="254" customWidth="1"/>
    <col min="8967" max="8967" width="11.7109375" style="254" customWidth="1"/>
    <col min="8968" max="9216" width="9.28515625" style="254"/>
    <col min="9217" max="9217" width="37.28515625" style="254" customWidth="1"/>
    <col min="9218" max="9218" width="18.42578125" style="254" customWidth="1"/>
    <col min="9219" max="9222" width="12.42578125" style="254" customWidth="1"/>
    <col min="9223" max="9223" width="11.7109375" style="254" customWidth="1"/>
    <col min="9224" max="9472" width="9.28515625" style="254"/>
    <col min="9473" max="9473" width="37.28515625" style="254" customWidth="1"/>
    <col min="9474" max="9474" width="18.42578125" style="254" customWidth="1"/>
    <col min="9475" max="9478" width="12.42578125" style="254" customWidth="1"/>
    <col min="9479" max="9479" width="11.7109375" style="254" customWidth="1"/>
    <col min="9480" max="9728" width="9.28515625" style="254"/>
    <col min="9729" max="9729" width="37.28515625" style="254" customWidth="1"/>
    <col min="9730" max="9730" width="18.42578125" style="254" customWidth="1"/>
    <col min="9731" max="9734" width="12.42578125" style="254" customWidth="1"/>
    <col min="9735" max="9735" width="11.7109375" style="254" customWidth="1"/>
    <col min="9736" max="9984" width="9.28515625" style="254"/>
    <col min="9985" max="9985" width="37.28515625" style="254" customWidth="1"/>
    <col min="9986" max="9986" width="18.42578125" style="254" customWidth="1"/>
    <col min="9987" max="9990" width="12.42578125" style="254" customWidth="1"/>
    <col min="9991" max="9991" width="11.7109375" style="254" customWidth="1"/>
    <col min="9992" max="10240" width="9.28515625" style="254"/>
    <col min="10241" max="10241" width="37.28515625" style="254" customWidth="1"/>
    <col min="10242" max="10242" width="18.42578125" style="254" customWidth="1"/>
    <col min="10243" max="10246" width="12.42578125" style="254" customWidth="1"/>
    <col min="10247" max="10247" width="11.7109375" style="254" customWidth="1"/>
    <col min="10248" max="10496" width="9.28515625" style="254"/>
    <col min="10497" max="10497" width="37.28515625" style="254" customWidth="1"/>
    <col min="10498" max="10498" width="18.42578125" style="254" customWidth="1"/>
    <col min="10499" max="10502" width="12.42578125" style="254" customWidth="1"/>
    <col min="10503" max="10503" width="11.7109375" style="254" customWidth="1"/>
    <col min="10504" max="10752" width="9.28515625" style="254"/>
    <col min="10753" max="10753" width="37.28515625" style="254" customWidth="1"/>
    <col min="10754" max="10754" width="18.42578125" style="254" customWidth="1"/>
    <col min="10755" max="10758" width="12.42578125" style="254" customWidth="1"/>
    <col min="10759" max="10759" width="11.7109375" style="254" customWidth="1"/>
    <col min="10760" max="11008" width="9.28515625" style="254"/>
    <col min="11009" max="11009" width="37.28515625" style="254" customWidth="1"/>
    <col min="11010" max="11010" width="18.42578125" style="254" customWidth="1"/>
    <col min="11011" max="11014" width="12.42578125" style="254" customWidth="1"/>
    <col min="11015" max="11015" width="11.7109375" style="254" customWidth="1"/>
    <col min="11016" max="11264" width="9.28515625" style="254"/>
    <col min="11265" max="11265" width="37.28515625" style="254" customWidth="1"/>
    <col min="11266" max="11266" width="18.42578125" style="254" customWidth="1"/>
    <col min="11267" max="11270" width="12.42578125" style="254" customWidth="1"/>
    <col min="11271" max="11271" width="11.7109375" style="254" customWidth="1"/>
    <col min="11272" max="11520" width="9.28515625" style="254"/>
    <col min="11521" max="11521" width="37.28515625" style="254" customWidth="1"/>
    <col min="11522" max="11522" width="18.42578125" style="254" customWidth="1"/>
    <col min="11523" max="11526" width="12.42578125" style="254" customWidth="1"/>
    <col min="11527" max="11527" width="11.7109375" style="254" customWidth="1"/>
    <col min="11528" max="11776" width="9.28515625" style="254"/>
    <col min="11777" max="11777" width="37.28515625" style="254" customWidth="1"/>
    <col min="11778" max="11778" width="18.42578125" style="254" customWidth="1"/>
    <col min="11779" max="11782" width="12.42578125" style="254" customWidth="1"/>
    <col min="11783" max="11783" width="11.7109375" style="254" customWidth="1"/>
    <col min="11784" max="12032" width="9.28515625" style="254"/>
    <col min="12033" max="12033" width="37.28515625" style="254" customWidth="1"/>
    <col min="12034" max="12034" width="18.42578125" style="254" customWidth="1"/>
    <col min="12035" max="12038" width="12.42578125" style="254" customWidth="1"/>
    <col min="12039" max="12039" width="11.7109375" style="254" customWidth="1"/>
    <col min="12040" max="12288" width="9.28515625" style="254"/>
    <col min="12289" max="12289" width="37.28515625" style="254" customWidth="1"/>
    <col min="12290" max="12290" width="18.42578125" style="254" customWidth="1"/>
    <col min="12291" max="12294" width="12.42578125" style="254" customWidth="1"/>
    <col min="12295" max="12295" width="11.7109375" style="254" customWidth="1"/>
    <col min="12296" max="12544" width="9.28515625" style="254"/>
    <col min="12545" max="12545" width="37.28515625" style="254" customWidth="1"/>
    <col min="12546" max="12546" width="18.42578125" style="254" customWidth="1"/>
    <col min="12547" max="12550" width="12.42578125" style="254" customWidth="1"/>
    <col min="12551" max="12551" width="11.7109375" style="254" customWidth="1"/>
    <col min="12552" max="12800" width="9.28515625" style="254"/>
    <col min="12801" max="12801" width="37.28515625" style="254" customWidth="1"/>
    <col min="12802" max="12802" width="18.42578125" style="254" customWidth="1"/>
    <col min="12803" max="12806" width="12.42578125" style="254" customWidth="1"/>
    <col min="12807" max="12807" width="11.7109375" style="254" customWidth="1"/>
    <col min="12808" max="13056" width="9.28515625" style="254"/>
    <col min="13057" max="13057" width="37.28515625" style="254" customWidth="1"/>
    <col min="13058" max="13058" width="18.42578125" style="254" customWidth="1"/>
    <col min="13059" max="13062" width="12.42578125" style="254" customWidth="1"/>
    <col min="13063" max="13063" width="11.7109375" style="254" customWidth="1"/>
    <col min="13064" max="13312" width="9.28515625" style="254"/>
    <col min="13313" max="13313" width="37.28515625" style="254" customWidth="1"/>
    <col min="13314" max="13314" width="18.42578125" style="254" customWidth="1"/>
    <col min="13315" max="13318" width="12.42578125" style="254" customWidth="1"/>
    <col min="13319" max="13319" width="11.7109375" style="254" customWidth="1"/>
    <col min="13320" max="13568" width="9.28515625" style="254"/>
    <col min="13569" max="13569" width="37.28515625" style="254" customWidth="1"/>
    <col min="13570" max="13570" width="18.42578125" style="254" customWidth="1"/>
    <col min="13571" max="13574" width="12.42578125" style="254" customWidth="1"/>
    <col min="13575" max="13575" width="11.7109375" style="254" customWidth="1"/>
    <col min="13576" max="13824" width="9.28515625" style="254"/>
    <col min="13825" max="13825" width="37.28515625" style="254" customWidth="1"/>
    <col min="13826" max="13826" width="18.42578125" style="254" customWidth="1"/>
    <col min="13827" max="13830" width="12.42578125" style="254" customWidth="1"/>
    <col min="13831" max="13831" width="11.7109375" style="254" customWidth="1"/>
    <col min="13832" max="14080" width="9.28515625" style="254"/>
    <col min="14081" max="14081" width="37.28515625" style="254" customWidth="1"/>
    <col min="14082" max="14082" width="18.42578125" style="254" customWidth="1"/>
    <col min="14083" max="14086" width="12.42578125" style="254" customWidth="1"/>
    <col min="14087" max="14087" width="11.7109375" style="254" customWidth="1"/>
    <col min="14088" max="14336" width="9.28515625" style="254"/>
    <col min="14337" max="14337" width="37.28515625" style="254" customWidth="1"/>
    <col min="14338" max="14338" width="18.42578125" style="254" customWidth="1"/>
    <col min="14339" max="14342" width="12.42578125" style="254" customWidth="1"/>
    <col min="14343" max="14343" width="11.7109375" style="254" customWidth="1"/>
    <col min="14344" max="14592" width="9.28515625" style="254"/>
    <col min="14593" max="14593" width="37.28515625" style="254" customWidth="1"/>
    <col min="14594" max="14594" width="18.42578125" style="254" customWidth="1"/>
    <col min="14595" max="14598" width="12.42578125" style="254" customWidth="1"/>
    <col min="14599" max="14599" width="11.7109375" style="254" customWidth="1"/>
    <col min="14600" max="14848" width="9.28515625" style="254"/>
    <col min="14849" max="14849" width="37.28515625" style="254" customWidth="1"/>
    <col min="14850" max="14850" width="18.42578125" style="254" customWidth="1"/>
    <col min="14851" max="14854" width="12.42578125" style="254" customWidth="1"/>
    <col min="14855" max="14855" width="11.7109375" style="254" customWidth="1"/>
    <col min="14856" max="15104" width="9.28515625" style="254"/>
    <col min="15105" max="15105" width="37.28515625" style="254" customWidth="1"/>
    <col min="15106" max="15106" width="18.42578125" style="254" customWidth="1"/>
    <col min="15107" max="15110" width="12.42578125" style="254" customWidth="1"/>
    <col min="15111" max="15111" width="11.7109375" style="254" customWidth="1"/>
    <col min="15112" max="15360" width="9.28515625" style="254"/>
    <col min="15361" max="15361" width="37.28515625" style="254" customWidth="1"/>
    <col min="15362" max="15362" width="18.42578125" style="254" customWidth="1"/>
    <col min="15363" max="15366" width="12.42578125" style="254" customWidth="1"/>
    <col min="15367" max="15367" width="11.7109375" style="254" customWidth="1"/>
    <col min="15368" max="15616" width="9.28515625" style="254"/>
    <col min="15617" max="15617" width="37.28515625" style="254" customWidth="1"/>
    <col min="15618" max="15618" width="18.42578125" style="254" customWidth="1"/>
    <col min="15619" max="15622" width="12.42578125" style="254" customWidth="1"/>
    <col min="15623" max="15623" width="11.7109375" style="254" customWidth="1"/>
    <col min="15624" max="15872" width="9.28515625" style="254"/>
    <col min="15873" max="15873" width="37.28515625" style="254" customWidth="1"/>
    <col min="15874" max="15874" width="18.42578125" style="254" customWidth="1"/>
    <col min="15875" max="15878" width="12.42578125" style="254" customWidth="1"/>
    <col min="15879" max="15879" width="11.7109375" style="254" customWidth="1"/>
    <col min="15880" max="16128" width="9.28515625" style="254"/>
    <col min="16129" max="16129" width="37.28515625" style="254" customWidth="1"/>
    <col min="16130" max="16130" width="18.42578125" style="254" customWidth="1"/>
    <col min="16131" max="16134" width="12.42578125" style="254" customWidth="1"/>
    <col min="16135" max="16135" width="11.7109375" style="254" customWidth="1"/>
    <col min="16136" max="16384" width="9.28515625" style="254"/>
  </cols>
  <sheetData>
    <row r="1" spans="1:18" x14ac:dyDescent="0.25">
      <c r="A1" s="492"/>
      <c r="B1" s="492"/>
      <c r="C1" s="492"/>
      <c r="D1" s="492"/>
      <c r="E1" s="492"/>
      <c r="F1" s="492"/>
    </row>
    <row r="2" spans="1:18" ht="18.75" x14ac:dyDescent="0.3">
      <c r="A2" s="508" t="s">
        <v>558</v>
      </c>
      <c r="B2" s="482"/>
      <c r="C2" s="482"/>
      <c r="D2" s="482"/>
      <c r="E2" s="482"/>
      <c r="F2" s="482"/>
      <c r="G2" s="482"/>
      <c r="H2" s="482"/>
      <c r="I2" s="237"/>
    </row>
    <row r="3" spans="1:18" x14ac:dyDescent="0.25">
      <c r="A3" s="255"/>
      <c r="B3" s="256"/>
      <c r="C3" s="256"/>
      <c r="D3" s="256"/>
      <c r="E3" s="256"/>
      <c r="F3" s="256"/>
    </row>
    <row r="4" spans="1:18" x14ac:dyDescent="0.25">
      <c r="A4" s="257" t="s">
        <v>0</v>
      </c>
      <c r="B4" s="258" t="s">
        <v>2</v>
      </c>
      <c r="C4" s="258" t="s">
        <v>3</v>
      </c>
      <c r="D4" s="258" t="s">
        <v>4</v>
      </c>
      <c r="E4" s="258" t="s">
        <v>5</v>
      </c>
      <c r="F4" s="258" t="s">
        <v>6</v>
      </c>
      <c r="G4" s="166" t="s">
        <v>168</v>
      </c>
      <c r="H4" s="166" t="s">
        <v>167</v>
      </c>
    </row>
    <row r="5" spans="1:18" s="262" customFormat="1" x14ac:dyDescent="0.25">
      <c r="A5" s="259"/>
      <c r="B5" s="260"/>
      <c r="C5" s="261"/>
      <c r="D5" s="261"/>
      <c r="E5" s="261"/>
      <c r="F5" s="261"/>
      <c r="G5" s="261"/>
      <c r="H5" s="261"/>
    </row>
    <row r="6" spans="1:18" x14ac:dyDescent="0.25">
      <c r="A6" s="263" t="s">
        <v>48</v>
      </c>
      <c r="B6" s="264"/>
      <c r="C6" s="264"/>
      <c r="D6" s="264"/>
      <c r="E6" s="264"/>
      <c r="F6" s="264"/>
      <c r="G6" s="264"/>
      <c r="H6" s="264"/>
    </row>
    <row r="7" spans="1:18" x14ac:dyDescent="0.25">
      <c r="A7" s="265" t="s">
        <v>49</v>
      </c>
      <c r="B7" s="266"/>
      <c r="C7" s="266"/>
      <c r="D7" s="266"/>
      <c r="E7" s="266"/>
      <c r="F7" s="266"/>
      <c r="G7" s="266"/>
      <c r="H7" s="266"/>
    </row>
    <row r="8" spans="1:18" x14ac:dyDescent="0.25">
      <c r="A8" s="267" t="s">
        <v>242</v>
      </c>
      <c r="B8" s="268">
        <f>'8.Cash Flow '!C33</f>
        <v>6853106.8737117648</v>
      </c>
      <c r="C8" s="268">
        <f>'8.Cash Flow '!D33</f>
        <v>10296659.737665653</v>
      </c>
      <c r="D8" s="268">
        <f>'8.Cash Flow '!E33</f>
        <v>13752915.358386427</v>
      </c>
      <c r="E8" s="268">
        <f>'8.Cash Flow '!F33</f>
        <v>18001118.982589424</v>
      </c>
      <c r="F8" s="268">
        <f>'8.Cash Flow '!G33</f>
        <v>27912835.864579201</v>
      </c>
      <c r="G8" s="268">
        <f>'8.Cash Flow '!H33</f>
        <v>38864662.557148844</v>
      </c>
      <c r="H8" s="268">
        <f>'8.Cash Flow '!I33</f>
        <v>50956403.848912686</v>
      </c>
      <c r="K8" s="269"/>
      <c r="L8" s="269"/>
      <c r="M8" s="269"/>
      <c r="N8" s="269"/>
      <c r="O8" s="269"/>
      <c r="P8" s="269"/>
      <c r="Q8" s="269"/>
      <c r="R8" s="269"/>
    </row>
    <row r="9" spans="1:18" x14ac:dyDescent="0.25">
      <c r="A9" s="270" t="s">
        <v>243</v>
      </c>
      <c r="B9" s="271"/>
      <c r="C9" s="271"/>
      <c r="D9" s="271"/>
      <c r="E9" s="271"/>
      <c r="F9" s="271"/>
      <c r="G9" s="271"/>
      <c r="H9" s="271"/>
      <c r="K9" s="269"/>
      <c r="L9" s="269"/>
      <c r="M9" s="269"/>
      <c r="N9" s="269"/>
      <c r="O9" s="269"/>
      <c r="P9" s="269"/>
      <c r="Q9" s="269"/>
      <c r="R9" s="269"/>
    </row>
    <row r="10" spans="1:18" x14ac:dyDescent="0.25">
      <c r="A10" s="270" t="s">
        <v>596</v>
      </c>
      <c r="B10" s="271"/>
      <c r="C10" s="271"/>
      <c r="D10" s="271"/>
      <c r="E10" s="271"/>
      <c r="F10" s="271"/>
      <c r="G10" s="271"/>
      <c r="H10" s="271"/>
      <c r="K10" s="269"/>
      <c r="L10" s="269"/>
      <c r="M10" s="269"/>
      <c r="N10" s="269"/>
      <c r="O10" s="269"/>
      <c r="P10" s="269"/>
      <c r="Q10" s="269"/>
      <c r="R10" s="269"/>
    </row>
    <row r="11" spans="1:18" x14ac:dyDescent="0.25">
      <c r="A11" s="265" t="s">
        <v>244</v>
      </c>
      <c r="B11" s="268">
        <f t="shared" ref="B11:H11" si="0">SUM(B8:B10)</f>
        <v>6853106.8737117648</v>
      </c>
      <c r="C11" s="268">
        <f t="shared" si="0"/>
        <v>10296659.737665653</v>
      </c>
      <c r="D11" s="268">
        <f t="shared" si="0"/>
        <v>13752915.358386427</v>
      </c>
      <c r="E11" s="268">
        <f t="shared" si="0"/>
        <v>18001118.982589424</v>
      </c>
      <c r="F11" s="268">
        <f t="shared" si="0"/>
        <v>27912835.864579201</v>
      </c>
      <c r="G11" s="268">
        <f t="shared" si="0"/>
        <v>38864662.557148844</v>
      </c>
      <c r="H11" s="268">
        <f t="shared" si="0"/>
        <v>50956403.848912686</v>
      </c>
    </row>
    <row r="12" spans="1:18" x14ac:dyDescent="0.25">
      <c r="A12" s="265"/>
      <c r="B12" s="271"/>
      <c r="C12" s="271"/>
      <c r="D12" s="271"/>
      <c r="E12" s="271"/>
      <c r="F12" s="271"/>
      <c r="G12" s="271"/>
      <c r="H12" s="271"/>
      <c r="J12" s="269"/>
      <c r="K12" s="269"/>
      <c r="L12" s="269"/>
      <c r="M12" s="269"/>
      <c r="N12" s="269"/>
      <c r="O12" s="269"/>
      <c r="P12" s="269"/>
      <c r="Q12" s="269"/>
    </row>
    <row r="13" spans="1:18" x14ac:dyDescent="0.25">
      <c r="A13" s="272" t="s">
        <v>245</v>
      </c>
      <c r="B13" s="271">
        <f>'3.Other Exp &amp; Taxes'!C65</f>
        <v>34678835.469999999</v>
      </c>
      <c r="C13" s="271">
        <f>'3.Other Exp &amp; Taxes'!D65</f>
        <v>33155958.789749</v>
      </c>
      <c r="D13" s="271">
        <f>'3.Other Exp &amp; Taxes'!E65</f>
        <v>31633082.109497998</v>
      </c>
      <c r="E13" s="271">
        <f>'3.Other Exp &amp; Taxes'!F65</f>
        <v>30110205.429247003</v>
      </c>
      <c r="F13" s="271">
        <f>'3.Other Exp &amp; Taxes'!G65</f>
        <v>28587328.748996001</v>
      </c>
      <c r="G13" s="271">
        <f>'3.Other Exp &amp; Taxes'!H65</f>
        <v>27064452.068745002</v>
      </c>
      <c r="H13" s="271">
        <f>'3.Other Exp &amp; Taxes'!I65</f>
        <v>25541575.388494007</v>
      </c>
    </row>
    <row r="14" spans="1:18" x14ac:dyDescent="0.25">
      <c r="A14" s="272" t="s">
        <v>246</v>
      </c>
      <c r="B14" s="271">
        <f>'3.Other Exp &amp; Taxes'!C66</f>
        <v>1522876.6802509998</v>
      </c>
      <c r="C14" s="271">
        <f>'3.Other Exp &amp; Taxes'!D66</f>
        <v>1522876.6802509998</v>
      </c>
      <c r="D14" s="271">
        <f>'3.Other Exp &amp; Taxes'!E66</f>
        <v>1522876.6802509998</v>
      </c>
      <c r="E14" s="271">
        <f>'3.Other Exp &amp; Taxes'!F66</f>
        <v>1522876.6802509998</v>
      </c>
      <c r="F14" s="271">
        <f>'3.Other Exp &amp; Taxes'!G66</f>
        <v>1522876.6802509998</v>
      </c>
      <c r="G14" s="271">
        <f>'3.Other Exp &amp; Taxes'!H66</f>
        <v>1522876.6802509998</v>
      </c>
      <c r="H14" s="271">
        <f>'3.Other Exp &amp; Taxes'!I66</f>
        <v>1522876.6802509998</v>
      </c>
      <c r="K14" s="269"/>
      <c r="L14" s="269"/>
      <c r="M14" s="269"/>
      <c r="N14" s="269"/>
      <c r="O14" s="269"/>
      <c r="P14" s="269"/>
      <c r="Q14" s="269"/>
    </row>
    <row r="15" spans="1:18" s="256" customFormat="1" x14ac:dyDescent="0.25">
      <c r="A15" s="265" t="s">
        <v>198</v>
      </c>
      <c r="B15" s="268">
        <f t="shared" ref="B15:H15" si="1">B13-B14</f>
        <v>33155958.789749</v>
      </c>
      <c r="C15" s="268">
        <f t="shared" si="1"/>
        <v>31633082.109498002</v>
      </c>
      <c r="D15" s="268">
        <f t="shared" si="1"/>
        <v>30110205.429246999</v>
      </c>
      <c r="E15" s="268">
        <f t="shared" si="1"/>
        <v>28587328.748996004</v>
      </c>
      <c r="F15" s="268">
        <f t="shared" si="1"/>
        <v>27064452.068745002</v>
      </c>
      <c r="G15" s="268">
        <f t="shared" si="1"/>
        <v>25541575.388494004</v>
      </c>
      <c r="H15" s="268">
        <f t="shared" si="1"/>
        <v>24018698.708243009</v>
      </c>
    </row>
    <row r="16" spans="1:18" s="256" customFormat="1" x14ac:dyDescent="0.25">
      <c r="A16" s="265"/>
      <c r="B16" s="268"/>
      <c r="C16" s="268"/>
      <c r="D16" s="268"/>
      <c r="E16" s="268"/>
      <c r="F16" s="268"/>
      <c r="G16" s="268"/>
      <c r="H16" s="268"/>
    </row>
    <row r="17" spans="1:8" s="256" customFormat="1" x14ac:dyDescent="0.25">
      <c r="A17" s="273"/>
      <c r="B17" s="268"/>
      <c r="C17" s="268"/>
      <c r="D17" s="268"/>
      <c r="E17" s="268"/>
      <c r="F17" s="268"/>
      <c r="G17" s="268"/>
      <c r="H17" s="268"/>
    </row>
    <row r="18" spans="1:8" s="256" customFormat="1" x14ac:dyDescent="0.25">
      <c r="A18" s="265" t="s">
        <v>506</v>
      </c>
      <c r="B18" s="268">
        <f>'8.Cash Flow '!C20-'6.Cons Profit &amp; Loss'!B43</f>
        <v>0</v>
      </c>
      <c r="C18" s="268">
        <f>B18-'6.Cons Profit &amp; Loss'!C43</f>
        <v>0</v>
      </c>
      <c r="D18" s="268">
        <f>C18-'6.Cons Profit &amp; Loss'!D43</f>
        <v>0</v>
      </c>
      <c r="E18" s="268">
        <f>D18-'6.Cons Profit &amp; Loss'!E43</f>
        <v>0</v>
      </c>
      <c r="F18" s="268">
        <f>E18-'6.Cons Profit &amp; Loss'!F43</f>
        <v>0</v>
      </c>
      <c r="G18" s="268">
        <f>F18-'6.Cons Profit &amp; Loss'!G43</f>
        <v>0</v>
      </c>
      <c r="H18" s="268">
        <f>G18-'6.Cons Profit &amp; Loss'!H43</f>
        <v>0</v>
      </c>
    </row>
    <row r="19" spans="1:8" x14ac:dyDescent="0.25">
      <c r="A19" s="272"/>
      <c r="B19" s="271"/>
      <c r="C19" s="271"/>
      <c r="D19" s="271"/>
      <c r="E19" s="271"/>
      <c r="F19" s="271"/>
      <c r="G19" s="271"/>
      <c r="H19" s="271"/>
    </row>
    <row r="20" spans="1:8" x14ac:dyDescent="0.25">
      <c r="A20" s="273" t="s">
        <v>248</v>
      </c>
      <c r="B20" s="274">
        <f t="shared" ref="B20:H20" si="2">B11+B15+B17+B18</f>
        <v>40009065.663460761</v>
      </c>
      <c r="C20" s="274">
        <f t="shared" si="2"/>
        <v>41929741.847163655</v>
      </c>
      <c r="D20" s="274">
        <f t="shared" si="2"/>
        <v>43863120.787633426</v>
      </c>
      <c r="E20" s="274">
        <f t="shared" si="2"/>
        <v>46588447.731585428</v>
      </c>
      <c r="F20" s="274">
        <f t="shared" si="2"/>
        <v>54977287.933324203</v>
      </c>
      <c r="G20" s="274">
        <f t="shared" si="2"/>
        <v>64406237.945642844</v>
      </c>
      <c r="H20" s="274">
        <f t="shared" si="2"/>
        <v>74975102.557155699</v>
      </c>
    </row>
    <row r="21" spans="1:8" x14ac:dyDescent="0.25">
      <c r="A21" s="259"/>
      <c r="B21" s="275"/>
      <c r="C21" s="275"/>
      <c r="D21" s="275"/>
      <c r="E21" s="275"/>
      <c r="F21" s="275"/>
      <c r="G21" s="275"/>
      <c r="H21" s="275"/>
    </row>
    <row r="22" spans="1:8" x14ac:dyDescent="0.25">
      <c r="A22" s="263" t="s">
        <v>249</v>
      </c>
      <c r="B22" s="276"/>
      <c r="C22" s="276"/>
      <c r="D22" s="276"/>
      <c r="E22" s="276"/>
      <c r="F22" s="276"/>
      <c r="G22" s="276"/>
      <c r="H22" s="276"/>
    </row>
    <row r="23" spans="1:8" x14ac:dyDescent="0.25">
      <c r="A23" s="265" t="s">
        <v>250</v>
      </c>
      <c r="B23" s="276"/>
      <c r="C23" s="276"/>
      <c r="D23" s="276"/>
      <c r="E23" s="276"/>
      <c r="F23" s="276"/>
      <c r="G23" s="276"/>
      <c r="H23" s="276"/>
    </row>
    <row r="24" spans="1:8" x14ac:dyDescent="0.25">
      <c r="A24" s="270" t="s">
        <v>251</v>
      </c>
      <c r="B24" s="268">
        <f>'5.Closing Stock &amp; W Capital'!E55-'5.Closing Stock &amp; W Capital'!E56</f>
        <v>2647410.1729970812</v>
      </c>
      <c r="C24" s="268">
        <f>'5.Closing Stock &amp; W Capital'!F55-'5.Closing Stock &amp; W Capital'!F56</f>
        <v>3851073.0576275918</v>
      </c>
      <c r="D24" s="268">
        <f>'5.Closing Stock &amp; W Capital'!G55-'5.Closing Stock &amp; W Capital'!G56</f>
        <v>4404780.5298952498</v>
      </c>
      <c r="E24" s="268">
        <f>'5.Closing Stock &amp; W Capital'!H55-'5.Closing Stock &amp; W Capital'!H56</f>
        <v>5004242.922246471</v>
      </c>
      <c r="F24" s="268">
        <f>'5.Closing Stock &amp; W Capital'!I55-'5.Closing Stock &amp; W Capital'!I56</f>
        <v>5652604.3209905503</v>
      </c>
      <c r="G24" s="268">
        <f>'5.Closing Stock &amp; W Capital'!J55-'5.Closing Stock &amp; W Capital'!J56</f>
        <v>6348945.9916187422</v>
      </c>
      <c r="H24" s="268">
        <f>'5.Closing Stock &amp; W Capital'!K55-'5.Closing Stock &amp; W Capital'!K56</f>
        <v>7100727.2703043856</v>
      </c>
    </row>
    <row r="25" spans="1:8" x14ac:dyDescent="0.25">
      <c r="A25" s="270" t="s">
        <v>252</v>
      </c>
      <c r="B25" s="275"/>
      <c r="C25" s="275"/>
      <c r="D25" s="275"/>
      <c r="E25" s="275"/>
      <c r="F25" s="275"/>
      <c r="G25" s="275"/>
      <c r="H25" s="275"/>
    </row>
    <row r="26" spans="1:8" s="262" customFormat="1" x14ac:dyDescent="0.25">
      <c r="A26" s="270" t="s">
        <v>253</v>
      </c>
      <c r="B26" s="268"/>
      <c r="C26" s="268"/>
      <c r="D26" s="268"/>
      <c r="E26" s="268"/>
      <c r="F26" s="268"/>
      <c r="G26" s="268"/>
      <c r="H26" s="268"/>
    </row>
    <row r="27" spans="1:8" s="262" customFormat="1" x14ac:dyDescent="0.25">
      <c r="A27" s="265" t="s">
        <v>254</v>
      </c>
      <c r="B27" s="274">
        <f t="shared" ref="B27:H27" si="3">SUM(B24:B26)</f>
        <v>2647410.1729970812</v>
      </c>
      <c r="C27" s="274">
        <f t="shared" si="3"/>
        <v>3851073.0576275918</v>
      </c>
      <c r="D27" s="274">
        <f t="shared" si="3"/>
        <v>4404780.5298952498</v>
      </c>
      <c r="E27" s="274">
        <f t="shared" si="3"/>
        <v>5004242.922246471</v>
      </c>
      <c r="F27" s="274">
        <f t="shared" si="3"/>
        <v>5652604.3209905503</v>
      </c>
      <c r="G27" s="274">
        <f t="shared" si="3"/>
        <v>6348945.9916187422</v>
      </c>
      <c r="H27" s="274">
        <f t="shared" si="3"/>
        <v>7100727.2703043856</v>
      </c>
    </row>
    <row r="28" spans="1:8" s="262" customFormat="1" x14ac:dyDescent="0.25">
      <c r="A28" s="265" t="s">
        <v>255</v>
      </c>
      <c r="B28" s="274">
        <f>'4.TL repayment sch'!G21</f>
        <v>11836943.125442907</v>
      </c>
      <c r="C28" s="274">
        <f>'4.TL repayment sch'!G33</f>
        <v>8351962.9557144502</v>
      </c>
      <c r="D28" s="274">
        <f>'4.TL repayment sch'!G45</f>
        <v>4425000.0709508639</v>
      </c>
      <c r="E28" s="274">
        <f>'4.TL repayment sch'!G57</f>
        <v>9.3714334070682526E-9</v>
      </c>
      <c r="F28" s="274">
        <f>'4.TL repayment sch'!G69</f>
        <v>1.0559965731299433E-8</v>
      </c>
      <c r="G28" s="274">
        <f>'4.TL repayment sch'!G81</f>
        <v>1.1899233703364051E-8</v>
      </c>
      <c r="H28" s="274">
        <f>'[1]Term Loan'!J72+'[1]Term Loan'!S72</f>
        <v>0</v>
      </c>
    </row>
    <row r="29" spans="1:8" s="262" customFormat="1" x14ac:dyDescent="0.25">
      <c r="A29" s="265" t="s">
        <v>256</v>
      </c>
      <c r="B29" s="274"/>
      <c r="C29" s="274"/>
      <c r="D29" s="274"/>
      <c r="E29" s="274"/>
      <c r="F29" s="274"/>
      <c r="G29" s="274"/>
      <c r="H29" s="274"/>
    </row>
    <row r="30" spans="1:8" s="262" customFormat="1" x14ac:dyDescent="0.25">
      <c r="A30" s="265"/>
      <c r="B30" s="277"/>
      <c r="C30" s="277"/>
      <c r="D30" s="277"/>
      <c r="E30" s="277"/>
      <c r="F30" s="277"/>
      <c r="G30" s="277"/>
      <c r="H30" s="277"/>
    </row>
    <row r="31" spans="1:8" x14ac:dyDescent="0.25">
      <c r="A31" s="273" t="s">
        <v>257</v>
      </c>
      <c r="B31" s="274">
        <f t="shared" ref="B31:H31" si="4">SUM(B27:B29)</f>
        <v>14484353.298439989</v>
      </c>
      <c r="C31" s="274">
        <f t="shared" si="4"/>
        <v>12203036.013342042</v>
      </c>
      <c r="D31" s="274">
        <f t="shared" si="4"/>
        <v>8829780.6008461136</v>
      </c>
      <c r="E31" s="274">
        <f t="shared" si="4"/>
        <v>5004242.9222464804</v>
      </c>
      <c r="F31" s="274">
        <f t="shared" si="4"/>
        <v>5652604.3209905606</v>
      </c>
      <c r="G31" s="274">
        <f t="shared" si="4"/>
        <v>6348945.9916187543</v>
      </c>
      <c r="H31" s="274">
        <f t="shared" si="4"/>
        <v>7100727.2703043856</v>
      </c>
    </row>
    <row r="32" spans="1:8" x14ac:dyDescent="0.25">
      <c r="A32" s="259"/>
      <c r="B32" s="278"/>
      <c r="C32" s="278"/>
      <c r="D32" s="278"/>
      <c r="E32" s="278"/>
      <c r="F32" s="278"/>
      <c r="G32" s="278"/>
      <c r="H32" s="278"/>
    </row>
    <row r="33" spans="1:8" x14ac:dyDescent="0.25">
      <c r="A33" s="272" t="s">
        <v>258</v>
      </c>
      <c r="B33" s="271">
        <f>'1.Project Cost and MOF'!E21</f>
        <v>1911226.8513999991</v>
      </c>
      <c r="C33" s="271">
        <f>B33</f>
        <v>1911226.8513999991</v>
      </c>
      <c r="D33" s="271">
        <f t="shared" ref="D33:H34" si="5">C33</f>
        <v>1911226.8513999991</v>
      </c>
      <c r="E33" s="271">
        <f t="shared" si="5"/>
        <v>1911226.8513999991</v>
      </c>
      <c r="F33" s="271">
        <f t="shared" si="5"/>
        <v>1911226.8513999991</v>
      </c>
      <c r="G33" s="271">
        <f t="shared" si="5"/>
        <v>1911226.8513999991</v>
      </c>
      <c r="H33" s="271">
        <f t="shared" si="5"/>
        <v>1911226.8513999991</v>
      </c>
    </row>
    <row r="34" spans="1:8" x14ac:dyDescent="0.25">
      <c r="A34" s="272" t="s">
        <v>507</v>
      </c>
      <c r="B34" s="271">
        <f>'1.Project Cost and MOF'!E19</f>
        <v>20000000</v>
      </c>
      <c r="C34" s="271">
        <f>B34</f>
        <v>20000000</v>
      </c>
      <c r="D34" s="271">
        <f t="shared" si="5"/>
        <v>20000000</v>
      </c>
      <c r="E34" s="271">
        <f t="shared" si="5"/>
        <v>20000000</v>
      </c>
      <c r="F34" s="271">
        <f t="shared" si="5"/>
        <v>20000000</v>
      </c>
      <c r="G34" s="271">
        <f t="shared" si="5"/>
        <v>20000000</v>
      </c>
      <c r="H34" s="271">
        <f t="shared" si="5"/>
        <v>20000000</v>
      </c>
    </row>
    <row r="35" spans="1:8" x14ac:dyDescent="0.25">
      <c r="A35" s="265" t="s">
        <v>259</v>
      </c>
      <c r="B35" s="271"/>
      <c r="C35" s="271"/>
      <c r="D35" s="271"/>
      <c r="E35" s="271"/>
      <c r="F35" s="271"/>
      <c r="G35" s="271"/>
      <c r="H35" s="271"/>
    </row>
    <row r="36" spans="1:8" x14ac:dyDescent="0.25">
      <c r="A36" s="272" t="s">
        <v>260</v>
      </c>
      <c r="B36" s="271">
        <v>0</v>
      </c>
      <c r="C36" s="271">
        <f t="shared" ref="C36:H36" si="6">B39</f>
        <v>3613485.513620764</v>
      </c>
      <c r="D36" s="271">
        <f t="shared" si="6"/>
        <v>7815478.9824216031</v>
      </c>
      <c r="E36" s="271">
        <f t="shared" si="6"/>
        <v>13122113.335387334</v>
      </c>
      <c r="F36" s="271">
        <f t="shared" si="6"/>
        <v>19672977.957938969</v>
      </c>
      <c r="G36" s="271">
        <f t="shared" si="6"/>
        <v>27413456.76093366</v>
      </c>
      <c r="H36" s="271">
        <f t="shared" si="6"/>
        <v>36146065.102624096</v>
      </c>
    </row>
    <row r="37" spans="1:8" x14ac:dyDescent="0.25">
      <c r="A37" s="272" t="s">
        <v>261</v>
      </c>
      <c r="B37" s="271">
        <f>'6.Cons Profit &amp; Loss'!B53</f>
        <v>3613485.513620764</v>
      </c>
      <c r="C37" s="271">
        <f>'6.Cons Profit &amp; Loss'!C51</f>
        <v>4201993.468800839</v>
      </c>
      <c r="D37" s="271">
        <f>'6.Cons Profit &amp; Loss'!D51</f>
        <v>5306634.3529657302</v>
      </c>
      <c r="E37" s="271">
        <f>'6.Cons Profit &amp; Loss'!E51</f>
        <v>6550864.6225516358</v>
      </c>
      <c r="F37" s="271">
        <f>'6.Cons Profit &amp; Loss'!F51</f>
        <v>7740478.802994689</v>
      </c>
      <c r="G37" s="271">
        <f>'6.Cons Profit &amp; Loss'!G51</f>
        <v>8732608.341690436</v>
      </c>
      <c r="H37" s="271">
        <f>'6.Cons Profit &amp; Loss'!H51</f>
        <v>9817083.3328272104</v>
      </c>
    </row>
    <row r="38" spans="1:8" x14ac:dyDescent="0.25">
      <c r="A38" s="272" t="s">
        <v>262</v>
      </c>
      <c r="B38" s="271"/>
      <c r="C38" s="271"/>
      <c r="D38" s="271"/>
      <c r="E38" s="271"/>
      <c r="F38" s="271"/>
      <c r="G38" s="271"/>
      <c r="H38" s="271"/>
    </row>
    <row r="39" spans="1:8" x14ac:dyDescent="0.25">
      <c r="A39" s="272" t="s">
        <v>263</v>
      </c>
      <c r="B39" s="271">
        <f t="shared" ref="B39:H39" si="7">B36+B37-B38</f>
        <v>3613485.513620764</v>
      </c>
      <c r="C39" s="271">
        <f t="shared" si="7"/>
        <v>7815478.9824216031</v>
      </c>
      <c r="D39" s="271">
        <f t="shared" si="7"/>
        <v>13122113.335387334</v>
      </c>
      <c r="E39" s="271">
        <f t="shared" si="7"/>
        <v>19672977.957938969</v>
      </c>
      <c r="F39" s="271">
        <f t="shared" si="7"/>
        <v>27413456.76093366</v>
      </c>
      <c r="G39" s="271">
        <f t="shared" si="7"/>
        <v>36146065.102624096</v>
      </c>
      <c r="H39" s="271">
        <f t="shared" si="7"/>
        <v>45963148.435451306</v>
      </c>
    </row>
    <row r="40" spans="1:8" x14ac:dyDescent="0.25">
      <c r="A40" s="272"/>
      <c r="B40" s="276"/>
      <c r="C40" s="276"/>
      <c r="D40" s="276"/>
      <c r="E40" s="276"/>
      <c r="F40" s="276"/>
      <c r="G40" s="276"/>
      <c r="H40" s="276"/>
    </row>
    <row r="41" spans="1:8" x14ac:dyDescent="0.25">
      <c r="A41" s="279" t="s">
        <v>264</v>
      </c>
      <c r="B41" s="280">
        <f t="shared" ref="B41:H41" si="8">B33+B39+B34</f>
        <v>25524712.365020763</v>
      </c>
      <c r="C41" s="280">
        <f t="shared" si="8"/>
        <v>29726705.833821602</v>
      </c>
      <c r="D41" s="280">
        <f t="shared" si="8"/>
        <v>35033340.186787337</v>
      </c>
      <c r="E41" s="280">
        <f t="shared" si="8"/>
        <v>41584204.809338972</v>
      </c>
      <c r="F41" s="280">
        <f t="shared" si="8"/>
        <v>49324683.612333655</v>
      </c>
      <c r="G41" s="280">
        <f t="shared" si="8"/>
        <v>58057291.954024091</v>
      </c>
      <c r="H41" s="280">
        <f t="shared" si="8"/>
        <v>67874375.286851302</v>
      </c>
    </row>
    <row r="42" spans="1:8" x14ac:dyDescent="0.25">
      <c r="A42" s="259"/>
      <c r="B42" s="271"/>
      <c r="C42" s="271"/>
      <c r="D42" s="271"/>
      <c r="E42" s="271"/>
      <c r="F42" s="271"/>
      <c r="G42" s="271"/>
      <c r="H42" s="271"/>
    </row>
    <row r="43" spans="1:8" x14ac:dyDescent="0.25">
      <c r="A43" s="273" t="s">
        <v>265</v>
      </c>
      <c r="B43" s="274">
        <f t="shared" ref="B43:H43" si="9">B31+B41</f>
        <v>40009065.663460754</v>
      </c>
      <c r="C43" s="274">
        <f t="shared" si="9"/>
        <v>41929741.847163647</v>
      </c>
      <c r="D43" s="274">
        <f t="shared" si="9"/>
        <v>43863120.787633449</v>
      </c>
      <c r="E43" s="274">
        <f t="shared" si="9"/>
        <v>46588447.73158545</v>
      </c>
      <c r="F43" s="274">
        <f t="shared" si="9"/>
        <v>54977287.933324218</v>
      </c>
      <c r="G43" s="274">
        <f t="shared" si="9"/>
        <v>64406237.945642844</v>
      </c>
      <c r="H43" s="274">
        <f t="shared" si="9"/>
        <v>74975102.557155684</v>
      </c>
    </row>
    <row r="44" spans="1:8" x14ac:dyDescent="0.25">
      <c r="A44" s="259"/>
      <c r="B44" s="281"/>
      <c r="C44" s="281"/>
      <c r="D44" s="281"/>
      <c r="E44" s="281"/>
      <c r="F44" s="281"/>
      <c r="G44" s="281"/>
      <c r="H44" s="281"/>
    </row>
    <row r="45" spans="1:8" x14ac:dyDescent="0.25">
      <c r="A45" s="282" t="s">
        <v>266</v>
      </c>
      <c r="B45" s="283"/>
      <c r="C45" s="283"/>
      <c r="D45" s="283"/>
      <c r="E45" s="283"/>
      <c r="F45" s="283"/>
      <c r="G45" s="283"/>
      <c r="H45" s="283"/>
    </row>
    <row r="46" spans="1:8" x14ac:dyDescent="0.25">
      <c r="A46" s="284" t="s">
        <v>267</v>
      </c>
      <c r="B46" s="285">
        <f>B43-B20</f>
        <v>0</v>
      </c>
      <c r="C46" s="285">
        <f t="shared" ref="C46:H46" si="10">C43-C20</f>
        <v>0</v>
      </c>
      <c r="D46" s="285">
        <f t="shared" si="10"/>
        <v>0</v>
      </c>
      <c r="E46" s="285">
        <f t="shared" si="10"/>
        <v>0</v>
      </c>
      <c r="F46" s="285">
        <f t="shared" si="10"/>
        <v>0</v>
      </c>
      <c r="G46" s="285">
        <f t="shared" si="10"/>
        <v>0</v>
      </c>
      <c r="H46" s="285">
        <f t="shared" si="10"/>
        <v>0</v>
      </c>
    </row>
    <row r="47" spans="1:8" x14ac:dyDescent="0.25">
      <c r="A47" s="284"/>
      <c r="B47" s="285"/>
      <c r="C47" s="285"/>
      <c r="D47" s="285"/>
      <c r="E47" s="285"/>
      <c r="F47" s="285"/>
      <c r="G47" s="285"/>
      <c r="H47" s="285"/>
    </row>
    <row r="48" spans="1:8" x14ac:dyDescent="0.25">
      <c r="A48" s="286"/>
      <c r="B48" s="287"/>
      <c r="C48" s="287"/>
      <c r="D48" s="287"/>
      <c r="E48" s="287"/>
      <c r="F48" s="287"/>
      <c r="G48" s="287"/>
      <c r="H48" s="287"/>
    </row>
    <row r="49" spans="1:9" x14ac:dyDescent="0.25">
      <c r="B49" s="288"/>
      <c r="C49" s="288"/>
      <c r="D49" s="288"/>
      <c r="E49" s="288"/>
      <c r="F49" s="288"/>
      <c r="G49" s="288"/>
      <c r="H49" s="288"/>
    </row>
    <row r="50" spans="1:9" ht="39.6" customHeight="1" x14ac:dyDescent="0.25">
      <c r="A50" s="509" t="s">
        <v>401</v>
      </c>
      <c r="B50" s="510"/>
      <c r="C50" s="510"/>
      <c r="D50" s="510"/>
      <c r="E50" s="510"/>
      <c r="F50" s="510"/>
      <c r="G50" s="510"/>
      <c r="H50" s="510"/>
      <c r="I50" s="510"/>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 right="0.7" top="0.75" bottom="0.75" header="0.3" footer="0.3"/>
  <pageSetup paperSize="9"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19" zoomScaleNormal="80" zoomScaleSheetLayoutView="100" workbookViewId="0">
      <selection activeCell="C36" sqref="C36"/>
    </sheetView>
  </sheetViews>
  <sheetFormatPr defaultColWidth="10" defaultRowHeight="15" x14ac:dyDescent="0.25"/>
  <cols>
    <col min="1" max="1" width="3.5703125" style="104" customWidth="1"/>
    <col min="2" max="2" width="35.7109375" style="104" customWidth="1"/>
    <col min="3" max="3" width="15.5703125" style="104" customWidth="1"/>
    <col min="4" max="6" width="17.28515625" style="104" bestFit="1" customWidth="1"/>
    <col min="7" max="8" width="17.7109375" style="104" bestFit="1" customWidth="1"/>
    <col min="9" max="9" width="18.28515625" style="104" bestFit="1" customWidth="1"/>
    <col min="10" max="16384" width="10" style="104"/>
  </cols>
  <sheetData>
    <row r="1" spans="1:10" x14ac:dyDescent="0.25">
      <c r="A1" s="492"/>
      <c r="B1" s="492"/>
      <c r="C1" s="492"/>
      <c r="D1" s="492"/>
      <c r="E1" s="492"/>
      <c r="F1" s="492"/>
      <c r="G1" s="492"/>
    </row>
    <row r="2" spans="1:10" ht="18.75" x14ac:dyDescent="0.3">
      <c r="A2" s="482" t="s">
        <v>559</v>
      </c>
      <c r="B2" s="482"/>
      <c r="C2" s="482"/>
      <c r="D2" s="482"/>
      <c r="E2" s="482"/>
      <c r="F2" s="482"/>
      <c r="G2" s="482"/>
      <c r="H2" s="482"/>
      <c r="I2" s="482"/>
      <c r="J2" s="237"/>
    </row>
    <row r="4" spans="1:10" x14ac:dyDescent="0.25">
      <c r="A4" s="238" t="s">
        <v>223</v>
      </c>
      <c r="B4" s="238" t="s">
        <v>0</v>
      </c>
      <c r="C4" s="239" t="s">
        <v>2</v>
      </c>
      <c r="D4" s="239" t="s">
        <v>3</v>
      </c>
      <c r="E4" s="239" t="s">
        <v>4</v>
      </c>
      <c r="F4" s="239" t="s">
        <v>5</v>
      </c>
      <c r="G4" s="239" t="s">
        <v>6</v>
      </c>
      <c r="H4" s="239" t="s">
        <v>168</v>
      </c>
      <c r="I4" s="239" t="s">
        <v>167</v>
      </c>
    </row>
    <row r="5" spans="1:10" x14ac:dyDescent="0.25">
      <c r="A5" s="240">
        <v>1</v>
      </c>
      <c r="B5" s="240" t="s">
        <v>7</v>
      </c>
      <c r="C5" s="241"/>
      <c r="D5" s="241"/>
      <c r="E5" s="241"/>
      <c r="F5" s="241"/>
      <c r="G5" s="241"/>
      <c r="H5" s="241"/>
      <c r="I5" s="241"/>
    </row>
    <row r="6" spans="1:10" x14ac:dyDescent="0.25">
      <c r="A6" s="240"/>
      <c r="B6" s="242" t="s">
        <v>356</v>
      </c>
      <c r="C6" s="241">
        <f>'6.Cons Profit &amp; Loss'!B15</f>
        <v>130105434.26467498</v>
      </c>
      <c r="D6" s="241">
        <f>'6.Cons Profit &amp; Loss'!C15</f>
        <v>151668510.69094041</v>
      </c>
      <c r="E6" s="241">
        <f>'6.Cons Profit &amp; Loss'!D15</f>
        <v>172877686.16661531</v>
      </c>
      <c r="F6" s="241">
        <f>'6.Cons Profit &amp; Loss'!E15</f>
        <v>195828607.91313034</v>
      </c>
      <c r="G6" s="241">
        <f>'6.Cons Profit &amp; Loss'!F15</f>
        <v>220642427.61888033</v>
      </c>
      <c r="H6" s="241">
        <f>'6.Cons Profit &amp; Loss'!G15</f>
        <v>247333192.43479756</v>
      </c>
      <c r="I6" s="241">
        <f>'6.Cons Profit &amp; Loss'!H15</f>
        <v>276141427.66325921</v>
      </c>
    </row>
    <row r="7" spans="1:10" x14ac:dyDescent="0.25">
      <c r="A7" s="240">
        <v>2</v>
      </c>
      <c r="B7" s="240" t="s">
        <v>224</v>
      </c>
      <c r="C7" s="241">
        <f>'1.Project Cost and MOF'!E21</f>
        <v>1911226.8513999991</v>
      </c>
      <c r="D7" s="241"/>
      <c r="E7" s="241"/>
      <c r="F7" s="241"/>
      <c r="G7" s="241"/>
      <c r="H7" s="241"/>
      <c r="I7" s="241"/>
    </row>
    <row r="8" spans="1:10" x14ac:dyDescent="0.25">
      <c r="A8" s="240"/>
      <c r="B8" s="240" t="s">
        <v>285</v>
      </c>
      <c r="C8" s="241"/>
      <c r="D8" s="241"/>
      <c r="E8" s="241"/>
      <c r="F8" s="241"/>
      <c r="G8" s="241"/>
      <c r="H8" s="241"/>
      <c r="I8" s="241"/>
    </row>
    <row r="9" spans="1:10" x14ac:dyDescent="0.25">
      <c r="A9" s="240">
        <v>3</v>
      </c>
      <c r="B9" s="240" t="str">
        <f>'7.Balance Sheet'!A34</f>
        <v>Smart Grant -in-Aid</v>
      </c>
      <c r="C9" s="241">
        <f>'1.Project Cost and MOF'!E19</f>
        <v>20000000</v>
      </c>
      <c r="D9" s="241"/>
      <c r="E9" s="241"/>
      <c r="F9" s="241"/>
      <c r="G9" s="241"/>
      <c r="H9" s="241"/>
      <c r="I9" s="241"/>
    </row>
    <row r="10" spans="1:10" x14ac:dyDescent="0.25">
      <c r="A10" s="240">
        <v>4</v>
      </c>
      <c r="B10" s="240" t="s">
        <v>225</v>
      </c>
      <c r="C10" s="241">
        <f>'1.Project Cost and MOF'!E20</f>
        <v>13429461.6186</v>
      </c>
      <c r="D10" s="241"/>
      <c r="E10" s="241"/>
      <c r="F10" s="241"/>
      <c r="G10" s="241"/>
      <c r="H10" s="241"/>
      <c r="I10" s="241"/>
    </row>
    <row r="11" spans="1:10" x14ac:dyDescent="0.25">
      <c r="A11" s="240">
        <v>5</v>
      </c>
      <c r="B11" s="240" t="s">
        <v>226</v>
      </c>
      <c r="C11" s="241">
        <f>'7.Balance Sheet'!B24</f>
        <v>2647410.1729970812</v>
      </c>
      <c r="D11" s="241">
        <f>'7.Balance Sheet'!C24-'7.Balance Sheet'!B24</f>
        <v>1203662.8846305106</v>
      </c>
      <c r="E11" s="241">
        <f>'7.Balance Sheet'!D24-'7.Balance Sheet'!C24</f>
        <v>553707.47226765798</v>
      </c>
      <c r="F11" s="241">
        <f>'7.Balance Sheet'!E24-'7.Balance Sheet'!D24</f>
        <v>599462.39235122129</v>
      </c>
      <c r="G11" s="241">
        <f>'7.Balance Sheet'!F24-'7.Balance Sheet'!E24</f>
        <v>648361.39874407928</v>
      </c>
      <c r="H11" s="241">
        <f>'7.Balance Sheet'!G24-'7.Balance Sheet'!F24</f>
        <v>696341.6706281919</v>
      </c>
      <c r="I11" s="241">
        <f>'7.Balance Sheet'!H24-'7.Balance Sheet'!G24</f>
        <v>751781.27868564334</v>
      </c>
    </row>
    <row r="12" spans="1:10" x14ac:dyDescent="0.25">
      <c r="A12" s="240"/>
      <c r="B12" s="240" t="s">
        <v>227</v>
      </c>
      <c r="C12" s="243">
        <f t="shared" ref="C12:I12" si="0">SUM(C6:C11)</f>
        <v>168093532.90767208</v>
      </c>
      <c r="D12" s="243">
        <f t="shared" si="0"/>
        <v>152872173.57557091</v>
      </c>
      <c r="E12" s="243">
        <f t="shared" si="0"/>
        <v>173431393.63888296</v>
      </c>
      <c r="F12" s="243">
        <f t="shared" si="0"/>
        <v>196428070.30548155</v>
      </c>
      <c r="G12" s="243">
        <f t="shared" si="0"/>
        <v>221290789.01762441</v>
      </c>
      <c r="H12" s="243">
        <f t="shared" si="0"/>
        <v>248029534.10542575</v>
      </c>
      <c r="I12" s="243">
        <f t="shared" si="0"/>
        <v>276893208.94194484</v>
      </c>
    </row>
    <row r="13" spans="1:10" x14ac:dyDescent="0.25">
      <c r="A13" s="511" t="s">
        <v>228</v>
      </c>
      <c r="B13" s="511"/>
      <c r="C13" s="244"/>
      <c r="D13" s="244"/>
      <c r="E13" s="244"/>
      <c r="F13" s="244"/>
      <c r="G13" s="244"/>
      <c r="H13" s="244"/>
      <c r="I13" s="244"/>
    </row>
    <row r="14" spans="1:10" x14ac:dyDescent="0.25">
      <c r="A14" s="240">
        <v>1</v>
      </c>
      <c r="B14" s="240" t="s">
        <v>229</v>
      </c>
      <c r="C14" s="244"/>
      <c r="D14" s="244"/>
      <c r="E14" s="244"/>
      <c r="F14" s="244"/>
      <c r="G14" s="244"/>
      <c r="H14" s="244"/>
      <c r="I14" s="244"/>
    </row>
    <row r="15" spans="1:10" x14ac:dyDescent="0.25">
      <c r="A15" s="245" t="s">
        <v>230</v>
      </c>
      <c r="B15" s="244" t="str">
        <f>'[1]Total Cost of Project'!C3</f>
        <v>Land and Building</v>
      </c>
      <c r="C15" s="246">
        <f>'1.Project Cost and MOF'!D5</f>
        <v>23064771</v>
      </c>
      <c r="D15" s="246"/>
      <c r="E15" s="246"/>
      <c r="F15" s="246"/>
      <c r="G15" s="246"/>
      <c r="H15" s="246"/>
      <c r="I15" s="246"/>
    </row>
    <row r="16" spans="1:10" x14ac:dyDescent="0.25">
      <c r="A16" s="245" t="s">
        <v>231</v>
      </c>
      <c r="B16" s="247" t="str">
        <f>'[1]Total Cost of Project'!C4</f>
        <v>Machinery and Equipment</v>
      </c>
      <c r="C16" s="246">
        <f>'1.Project Cost and MOF'!D6</f>
        <v>10073106.469999999</v>
      </c>
      <c r="D16" s="246"/>
      <c r="E16" s="246"/>
      <c r="F16" s="246"/>
      <c r="G16" s="246"/>
      <c r="H16" s="246"/>
      <c r="I16" s="246"/>
    </row>
    <row r="17" spans="1:9" x14ac:dyDescent="0.25">
      <c r="A17" s="245" t="s">
        <v>268</v>
      </c>
      <c r="B17" s="247" t="s">
        <v>324</v>
      </c>
      <c r="C17" s="246">
        <f>'1.Project Cost and MOF'!D7</f>
        <v>623479</v>
      </c>
      <c r="D17" s="246"/>
      <c r="E17" s="246"/>
      <c r="F17" s="246"/>
      <c r="G17" s="246"/>
      <c r="H17" s="246"/>
      <c r="I17" s="246"/>
    </row>
    <row r="18" spans="1:9" x14ac:dyDescent="0.25">
      <c r="A18" s="245" t="s">
        <v>270</v>
      </c>
      <c r="B18" s="247" t="s">
        <v>326</v>
      </c>
      <c r="C18" s="246">
        <f>'1.Project Cost and MOF'!D8</f>
        <v>917479</v>
      </c>
      <c r="D18" s="246"/>
      <c r="E18" s="246"/>
      <c r="F18" s="246"/>
      <c r="G18" s="246"/>
      <c r="H18" s="246"/>
      <c r="I18" s="246"/>
    </row>
    <row r="19" spans="1:9" x14ac:dyDescent="0.25">
      <c r="A19" s="245" t="s">
        <v>327</v>
      </c>
      <c r="B19" s="247" t="s">
        <v>269</v>
      </c>
      <c r="C19" s="246">
        <f>'1.Project Cost and MOF'!D9</f>
        <v>0</v>
      </c>
      <c r="D19" s="241"/>
      <c r="E19" s="241"/>
      <c r="F19" s="241"/>
      <c r="G19" s="241"/>
      <c r="H19" s="241"/>
      <c r="I19" s="241"/>
    </row>
    <row r="20" spans="1:9" x14ac:dyDescent="0.25">
      <c r="A20" s="245" t="s">
        <v>328</v>
      </c>
      <c r="B20" s="247" t="s">
        <v>271</v>
      </c>
      <c r="C20" s="246">
        <f>'1.Project Cost and MOF'!D10</f>
        <v>0</v>
      </c>
      <c r="D20" s="241"/>
      <c r="E20" s="241"/>
      <c r="F20" s="241"/>
      <c r="G20" s="241"/>
      <c r="H20" s="241"/>
      <c r="I20" s="241"/>
    </row>
    <row r="21" spans="1:9" x14ac:dyDescent="0.25">
      <c r="A21" s="240">
        <v>2</v>
      </c>
      <c r="B21" s="240" t="s">
        <v>232</v>
      </c>
      <c r="C21" s="244"/>
      <c r="D21" s="244"/>
      <c r="E21" s="244"/>
      <c r="F21" s="244"/>
      <c r="G21" s="244"/>
      <c r="H21" s="244"/>
      <c r="I21" s="244"/>
    </row>
    <row r="22" spans="1:9" x14ac:dyDescent="0.25">
      <c r="A22" s="245" t="s">
        <v>230</v>
      </c>
      <c r="B22" s="244" t="s">
        <v>305</v>
      </c>
      <c r="C22" s="248">
        <f>'6.Cons Profit &amp; Loss'!B25</f>
        <v>120335843.266045</v>
      </c>
      <c r="D22" s="248">
        <f>'6.Cons Profit &amp; Loss'!C25</f>
        <v>140962514.94743368</v>
      </c>
      <c r="E22" s="248">
        <f>'6.Cons Profit &amp; Loss'!D25</f>
        <v>160753313.69157028</v>
      </c>
      <c r="F22" s="248">
        <f>'6.Cons Profit &amp; Loss'!E25</f>
        <v>182171429.647699</v>
      </c>
      <c r="G22" s="248">
        <f>'6.Cons Profit &amp; Loss'!F25</f>
        <v>205331313.59433967</v>
      </c>
      <c r="H22" s="248">
        <f>'6.Cons Profit &amp; Loss'!G25</f>
        <v>230347209.84779492</v>
      </c>
      <c r="I22" s="248">
        <f>'6.Cons Profit &amp; Loss'!H25</f>
        <v>257356115.6526368</v>
      </c>
    </row>
    <row r="23" spans="1:9" x14ac:dyDescent="0.25">
      <c r="A23" s="245" t="s">
        <v>231</v>
      </c>
      <c r="B23" s="244" t="s">
        <v>303</v>
      </c>
      <c r="C23" s="241">
        <f>'6.Cons Profit &amp; Loss'!B36</f>
        <v>2430800</v>
      </c>
      <c r="D23" s="241">
        <f>'6.Cons Profit &amp; Loss'!C36</f>
        <v>2552340</v>
      </c>
      <c r="E23" s="241">
        <f>'6.Cons Profit &amp; Loss'!D36</f>
        <v>2679957</v>
      </c>
      <c r="F23" s="241">
        <f>'6.Cons Profit &amp; Loss'!E36</f>
        <v>2813954.8500000006</v>
      </c>
      <c r="G23" s="241">
        <f>'6.Cons Profit &amp; Loss'!F36</f>
        <v>2954652.5925000003</v>
      </c>
      <c r="H23" s="241">
        <f>'6.Cons Profit &amp; Loss'!G36</f>
        <v>3102385.2221250003</v>
      </c>
      <c r="I23" s="241">
        <f>'6.Cons Profit &amp; Loss'!H36</f>
        <v>3257504.4832312511</v>
      </c>
    </row>
    <row r="24" spans="1:9" x14ac:dyDescent="0.25">
      <c r="A24" s="249">
        <v>3</v>
      </c>
      <c r="B24" s="240" t="s">
        <v>505</v>
      </c>
      <c r="C24" s="241"/>
      <c r="D24" s="241"/>
      <c r="E24" s="241"/>
      <c r="F24" s="241"/>
      <c r="G24" s="241"/>
      <c r="H24" s="241"/>
      <c r="I24" s="241"/>
    </row>
    <row r="25" spans="1:9" x14ac:dyDescent="0.25">
      <c r="A25" s="245"/>
      <c r="B25" s="244" t="s">
        <v>233</v>
      </c>
      <c r="C25" s="241">
        <f>SUM('4.TL repayment sch'!E10:E21)</f>
        <v>1592518.4931570943</v>
      </c>
      <c r="D25" s="241">
        <f>SUM('4.TL repayment sch'!E22:E33)</f>
        <v>3484980.1697284584</v>
      </c>
      <c r="E25" s="241">
        <f>SUM('4.TL repayment sch'!E34:E45)</f>
        <v>3926962.8847635863</v>
      </c>
      <c r="F25" s="241">
        <f>SUM('4.TL repayment sch'!E46:E57)</f>
        <v>4425000.0709508546</v>
      </c>
      <c r="G25" s="241">
        <f>SUM('4.TL repayment sch'!E58:E69)</f>
        <v>-1.188532324231179E-9</v>
      </c>
      <c r="H25" s="241">
        <f>SUM('4.TL repayment sch'!E70:E81)</f>
        <v>-1.3392679720646181E-9</v>
      </c>
      <c r="I25" s="241">
        <f>SUM('4.TL repayment sch'!E82:E87)</f>
        <v>0</v>
      </c>
    </row>
    <row r="26" spans="1:9" x14ac:dyDescent="0.25">
      <c r="A26" s="245"/>
      <c r="B26" s="244" t="s">
        <v>234</v>
      </c>
      <c r="C26" s="241">
        <f>SUM('4.TL repayment sch'!D10:D21)</f>
        <v>1572184.5811922636</v>
      </c>
      <c r="D26" s="241">
        <f>SUM('4.TL repayment sch'!D22:D33)</f>
        <v>1232890.584738258</v>
      </c>
      <c r="E26" s="241">
        <f>SUM('4.TL repayment sch'!D34:D45)</f>
        <v>790907.86970312952</v>
      </c>
      <c r="F26" s="241">
        <f>SUM('4.TL repayment sch'!D46:D57)</f>
        <v>292870.68351586105</v>
      </c>
      <c r="G26" s="241">
        <f>SUM('4.TL repayment sch'!D58:D69)</f>
        <v>1.188532324231179E-9</v>
      </c>
      <c r="H26" s="241">
        <f>SUM('4.TL repayment sch'!D70:D81)</f>
        <v>1.3392679720646181E-9</v>
      </c>
      <c r="I26" s="241">
        <f>SUM('4.TL repayment sch'!D82:D87)</f>
        <v>0</v>
      </c>
    </row>
    <row r="27" spans="1:9" x14ac:dyDescent="0.25">
      <c r="A27" s="245"/>
      <c r="B27" s="244" t="s">
        <v>235</v>
      </c>
      <c r="C27" s="241"/>
      <c r="D27" s="241"/>
      <c r="E27" s="241"/>
      <c r="F27" s="241"/>
      <c r="G27" s="241"/>
      <c r="H27" s="241"/>
      <c r="I27" s="241"/>
    </row>
    <row r="28" spans="1:9" x14ac:dyDescent="0.25">
      <c r="A28" s="245"/>
      <c r="B28" s="244" t="s">
        <v>236</v>
      </c>
      <c r="C28" s="250">
        <f>'7.Balance Sheet'!B24*12%</f>
        <v>317689.2207596497</v>
      </c>
      <c r="D28" s="250">
        <f>'7.Balance Sheet'!C24*12%</f>
        <v>462128.76691531099</v>
      </c>
      <c r="E28" s="250">
        <f>'7.Balance Sheet'!D24*12%</f>
        <v>528573.66358742991</v>
      </c>
      <c r="F28" s="250">
        <f>'7.Balance Sheet'!E24*12%</f>
        <v>600509.15066957648</v>
      </c>
      <c r="G28" s="250">
        <f>'7.Balance Sheet'!F24*12%</f>
        <v>678312.51851886604</v>
      </c>
      <c r="H28" s="250">
        <f>'7.Balance Sheet'!G24*12%</f>
        <v>761873.51899424905</v>
      </c>
      <c r="I28" s="250">
        <f>'7.Balance Sheet'!H24*12%</f>
        <v>852087.27243652625</v>
      </c>
    </row>
    <row r="29" spans="1:9" x14ac:dyDescent="0.25">
      <c r="A29" s="240">
        <v>4</v>
      </c>
      <c r="B29" s="240" t="s">
        <v>237</v>
      </c>
      <c r="C29" s="241">
        <f>'6.Cons Profit &amp; Loss'!B50</f>
        <v>312555.00280629552</v>
      </c>
      <c r="D29" s="241">
        <f>'6.Cons Profit &amp; Loss'!C50</f>
        <v>733766.24280132179</v>
      </c>
      <c r="E29" s="241">
        <f>'6.Cons Profit &amp; Loss'!D50</f>
        <v>1295422.9085377364</v>
      </c>
      <c r="F29" s="241">
        <f>'6.Cons Profit &amp; Loss'!E50</f>
        <v>1876102.278443276</v>
      </c>
      <c r="G29" s="241">
        <f>'6.Cons Profit &amp; Loss'!F50</f>
        <v>2414793.4302761047</v>
      </c>
      <c r="H29" s="241">
        <f>'6.Cons Profit &amp; Loss'!G50</f>
        <v>2866238.8239419539</v>
      </c>
      <c r="I29" s="241">
        <f>'6.Cons Profit &amp; Loss'!H50</f>
        <v>3335760.241876428</v>
      </c>
    </row>
    <row r="30" spans="1:9" x14ac:dyDescent="0.25">
      <c r="A30" s="240"/>
      <c r="B30" s="240" t="s">
        <v>238</v>
      </c>
      <c r="C30" s="251">
        <f t="shared" ref="C30:I30" si="1">SUM(C15:C29)</f>
        <v>161240426.03396031</v>
      </c>
      <c r="D30" s="251">
        <f t="shared" si="1"/>
        <v>149428620.71161702</v>
      </c>
      <c r="E30" s="251">
        <f t="shared" si="1"/>
        <v>169975138.01816219</v>
      </c>
      <c r="F30" s="251">
        <f t="shared" si="1"/>
        <v>192179866.68127856</v>
      </c>
      <c r="G30" s="251">
        <f t="shared" si="1"/>
        <v>211379072.13563463</v>
      </c>
      <c r="H30" s="251">
        <f t="shared" si="1"/>
        <v>237077707.4128561</v>
      </c>
      <c r="I30" s="251">
        <f t="shared" si="1"/>
        <v>264801467.650181</v>
      </c>
    </row>
    <row r="31" spans="1:9" x14ac:dyDescent="0.25">
      <c r="A31" s="240"/>
      <c r="B31" s="240" t="s">
        <v>239</v>
      </c>
      <c r="C31" s="251">
        <f>C12-C30</f>
        <v>6853106.8737117648</v>
      </c>
      <c r="D31" s="251">
        <f t="shared" ref="D31:I31" si="2">D12-D30</f>
        <v>3443552.8639538884</v>
      </c>
      <c r="E31" s="251">
        <f t="shared" si="2"/>
        <v>3456255.6207207739</v>
      </c>
      <c r="F31" s="251">
        <f t="shared" si="2"/>
        <v>4248203.6242029965</v>
      </c>
      <c r="G31" s="251">
        <f t="shared" si="2"/>
        <v>9911716.8819897771</v>
      </c>
      <c r="H31" s="251">
        <f t="shared" si="2"/>
        <v>10951826.692569643</v>
      </c>
      <c r="I31" s="251">
        <f t="shared" si="2"/>
        <v>12091741.291763842</v>
      </c>
    </row>
    <row r="32" spans="1:9" x14ac:dyDescent="0.25">
      <c r="A32" s="249"/>
      <c r="B32" s="244" t="s">
        <v>240</v>
      </c>
      <c r="C32" s="244"/>
      <c r="D32" s="252">
        <f t="shared" ref="D32:I32" si="3">C33</f>
        <v>6853106.8737117648</v>
      </c>
      <c r="E32" s="252">
        <f t="shared" si="3"/>
        <v>10296659.737665653</v>
      </c>
      <c r="F32" s="252">
        <f t="shared" si="3"/>
        <v>13752915.358386427</v>
      </c>
      <c r="G32" s="252">
        <f t="shared" si="3"/>
        <v>18001118.982589424</v>
      </c>
      <c r="H32" s="252">
        <f t="shared" si="3"/>
        <v>27912835.864579201</v>
      </c>
      <c r="I32" s="252">
        <f t="shared" si="3"/>
        <v>38864662.557148844</v>
      </c>
    </row>
    <row r="33" spans="1:10" x14ac:dyDescent="0.25">
      <c r="A33" s="240"/>
      <c r="B33" s="253" t="s">
        <v>241</v>
      </c>
      <c r="C33" s="251">
        <f t="shared" ref="C33:I33" si="4">C31+C32</f>
        <v>6853106.8737117648</v>
      </c>
      <c r="D33" s="251">
        <f t="shared" si="4"/>
        <v>10296659.737665653</v>
      </c>
      <c r="E33" s="251">
        <f t="shared" si="4"/>
        <v>13752915.358386427</v>
      </c>
      <c r="F33" s="251">
        <f t="shared" si="4"/>
        <v>18001118.982589424</v>
      </c>
      <c r="G33" s="251">
        <f t="shared" si="4"/>
        <v>27912835.864579201</v>
      </c>
      <c r="H33" s="251">
        <f t="shared" si="4"/>
        <v>38864662.557148844</v>
      </c>
      <c r="I33" s="251">
        <f t="shared" si="4"/>
        <v>50956403.848912686</v>
      </c>
    </row>
    <row r="35" spans="1:10" ht="40.15" customHeight="1" x14ac:dyDescent="0.25">
      <c r="A35" s="495" t="s">
        <v>402</v>
      </c>
      <c r="B35" s="495"/>
      <c r="C35" s="495"/>
      <c r="D35" s="495"/>
      <c r="E35" s="495"/>
      <c r="F35" s="495"/>
      <c r="G35" s="495"/>
      <c r="H35" s="495"/>
      <c r="I35" s="495"/>
      <c r="J35" s="495"/>
    </row>
    <row r="37" spans="1:10" x14ac:dyDescent="0.25">
      <c r="C37" s="211"/>
    </row>
    <row r="38" spans="1:10" x14ac:dyDescent="0.25">
      <c r="C38" s="211"/>
    </row>
    <row r="39" spans="1:10" x14ac:dyDescent="0.25">
      <c r="C39" s="211"/>
    </row>
    <row r="40" spans="1:10" x14ac:dyDescent="0.25">
      <c r="C40" s="211"/>
    </row>
    <row r="41" spans="1:10" x14ac:dyDescent="0.25">
      <c r="C41" s="211"/>
    </row>
  </sheetData>
  <mergeCells count="4">
    <mergeCell ref="A1:G1"/>
    <mergeCell ref="A2:I2"/>
    <mergeCell ref="A13:B13"/>
    <mergeCell ref="A35:J35"/>
  </mergeCell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Sheet3</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1714</dc:creator>
  <cp:lastModifiedBy>Admin</cp:lastModifiedBy>
  <cp:lastPrinted>2022-05-18T14:02:20Z</cp:lastPrinted>
  <dcterms:created xsi:type="dcterms:W3CDTF">2006-09-15T13:00:00Z</dcterms:created>
  <dcterms:modified xsi:type="dcterms:W3CDTF">2023-05-25T16:10:04Z</dcterms:modified>
</cp:coreProperties>
</file>